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7795" windowHeight="123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<sst xmlns="http://schemas.openxmlformats.org/spreadsheetml/2006/main" count="4468" uniqueCount="2629">
  <si>
    <t>Кол-во</t>
  </si>
  <si>
    <t>Сумма</t>
  </si>
  <si>
    <t>№ п/п</t>
  </si>
  <si>
    <t>Реестровый №</t>
  </si>
  <si>
    <t>Инвентарный №</t>
  </si>
  <si>
    <t>Наименование объекта</t>
  </si>
  <si>
    <t>Характеристика объекта</t>
  </si>
  <si>
    <t>Паспорт</t>
  </si>
  <si>
    <t>Назначение</t>
  </si>
  <si>
    <t>Доп. данные</t>
  </si>
  <si>
    <t>Площадь общая</t>
  </si>
  <si>
    <t>Основной строительный материал стен</t>
  </si>
  <si>
    <t>Кадастровый номер имущества</t>
  </si>
  <si>
    <t>Дата изготовления</t>
  </si>
  <si>
    <t>Заводской номер</t>
  </si>
  <si>
    <t>Адрес</t>
  </si>
  <si>
    <t>Св-во о праве собственности</t>
  </si>
  <si>
    <t>Дата cвидетельства</t>
  </si>
  <si>
    <t xml:space="preserve">РЕЕСТР МУНИЦИПАЛЬНОГО ИМУЩЕСТВА Администрации Сельского Поселения  ЛУГОВСКОЙ </t>
  </si>
  <si>
    <t xml:space="preserve">на </t>
  </si>
  <si>
    <t>Имущество АСП</t>
  </si>
  <si>
    <t>бензокоса STIHL FS-38 (шпуль.Автокат)</t>
  </si>
  <si>
    <t>мотопомпа HYUNDAI HYT 80 для грязной воды</t>
  </si>
  <si>
    <t>электрогенератор бензиновыйКратон GG-4.0</t>
  </si>
  <si>
    <t>1.013.4.0236</t>
  </si>
  <si>
    <t>1.013.4.0213</t>
  </si>
  <si>
    <t>1.013.4.0131</t>
  </si>
  <si>
    <t>04.10.2016</t>
  </si>
  <si>
    <t>23.07.2015</t>
  </si>
  <si>
    <t>06.06.2013</t>
  </si>
  <si>
    <t>машины и оборудование</t>
  </si>
  <si>
    <t>компьютер СКАТ Бизнес -(2) CPU Intel Core 3550 OEM</t>
  </si>
  <si>
    <t>1.013.4.0125</t>
  </si>
  <si>
    <t>05.03.2013</t>
  </si>
  <si>
    <t>мотопомпа Кратон GWP-100-1</t>
  </si>
  <si>
    <t>1.013.4.0127</t>
  </si>
  <si>
    <t>1.013.4.0132</t>
  </si>
  <si>
    <t>05.04.2013</t>
  </si>
  <si>
    <t>мотопомпа Кратон GWP-100</t>
  </si>
  <si>
    <t>1.013.4.0133</t>
  </si>
  <si>
    <t>1.013.4.0211</t>
  </si>
  <si>
    <t>15.07.2015</t>
  </si>
  <si>
    <t>лодочный мотор MERCURY 40 EO</t>
  </si>
  <si>
    <t>лодка моторная WYATBOAT-460</t>
  </si>
  <si>
    <t xml:space="preserve">Автомобиль UAS PATRIOT </t>
  </si>
  <si>
    <t>1.013.5.0013</t>
  </si>
  <si>
    <t>1.013.5.0018</t>
  </si>
  <si>
    <t>1.013.5.0016</t>
  </si>
  <si>
    <t>1.013.5.0007</t>
  </si>
  <si>
    <t>01.07.2013</t>
  </si>
  <si>
    <t>18.03.2015</t>
  </si>
  <si>
    <t>07.10.2013</t>
  </si>
  <si>
    <t>11.06.2009</t>
  </si>
  <si>
    <t>эл.станция бензин. P.I.T. PGB 7800-СЗ</t>
  </si>
  <si>
    <t>сирена С-40 (С-40М)</t>
  </si>
  <si>
    <t>мотопомпа бензиновая Hyunday HYT 80</t>
  </si>
  <si>
    <t>мотопомпа Hyunday HYT 80 для грязной воды</t>
  </si>
  <si>
    <t>Видеопроектор мультимедийный Mitsubishi ES200U</t>
  </si>
  <si>
    <t>1.013.4.0231</t>
  </si>
  <si>
    <t>1.013.4.0134</t>
  </si>
  <si>
    <t>1.013.4.0151</t>
  </si>
  <si>
    <t>1.013.4.0233</t>
  </si>
  <si>
    <t>1.013.4.0209</t>
  </si>
  <si>
    <t>1.013.4.0103</t>
  </si>
  <si>
    <t>22.03.2016</t>
  </si>
  <si>
    <t>30.09.2013</t>
  </si>
  <si>
    <t>31.07.2014</t>
  </si>
  <si>
    <t>06.04.2016</t>
  </si>
  <si>
    <t>23.09.2015</t>
  </si>
  <si>
    <t>06.12.2012</t>
  </si>
  <si>
    <t>насос КМ 100-80-160 с дв. 15/300</t>
  </si>
  <si>
    <t>бензопила Штиль 180</t>
  </si>
  <si>
    <t>1.013.4.0130</t>
  </si>
  <si>
    <t>1.013.4.0227</t>
  </si>
  <si>
    <t>1.013.4.0226</t>
  </si>
  <si>
    <t>1.013.4.0225</t>
  </si>
  <si>
    <t>1.013.4.0166</t>
  </si>
  <si>
    <t>1.013.4.0165</t>
  </si>
  <si>
    <t>1.013.4.0210</t>
  </si>
  <si>
    <t>17.12.2015</t>
  </si>
  <si>
    <t>09.12.2014</t>
  </si>
  <si>
    <t>09.07.2015</t>
  </si>
  <si>
    <t>принтер HP LaserJet Pro P1102w</t>
  </si>
  <si>
    <t>МФУ черно-белый Лазерный принтер НР LaserJet M132fn (принтер/сканер/копир/факс)</t>
  </si>
  <si>
    <t>МФУ лазерное HP LaserJet Pro M1536dnf</t>
  </si>
  <si>
    <t>МФУ лазерное HP LaserJet Pro M227fdn</t>
  </si>
  <si>
    <t>многофункциональное устройство HP LaserJet Pro M 1536 dnf RU(принтер,сканер,копир,факс)</t>
  </si>
  <si>
    <t>многофункциональное устройство HP LaserJet Pro M 1536 dnf RU</t>
  </si>
  <si>
    <t xml:space="preserve">компьютер СКАТ Фортис (3) CPU Intel Pentium </t>
  </si>
  <si>
    <t>компьютер СКАТ Партнер -5 CPU Intel Core i5 3570K OEM</t>
  </si>
  <si>
    <t>компьютер СКАТ Кредо NEW !!!-5 CPU Intei Core i7 4770 OEM</t>
  </si>
  <si>
    <t>компьютер СКАТ Акция CPU Intel Pentium Dual-Core G3240 OEM(встроенная звуковая карта, сетевая, операционная система 8,1)</t>
  </si>
  <si>
    <t>компьютер в сборе (корпус Mini-Tower 350W. AMD Ryzen 3 1200. 4*3100 МГц, 4 ГБ DDR4. HDD 500 ГБ, SSD 120 ГБ LAN 1000 Мбит/с, Windos 10 Pro  клавиатура, мышь оптическая</t>
  </si>
  <si>
    <t>1.013.4.0145</t>
  </si>
  <si>
    <t>1.013.4.0196</t>
  </si>
  <si>
    <t>1.013.4.0237</t>
  </si>
  <si>
    <t>1.013.4.0126</t>
  </si>
  <si>
    <t>1.013.4.0238</t>
  </si>
  <si>
    <t>1.013.4.0123</t>
  </si>
  <si>
    <t>1.013.4.0122</t>
  </si>
  <si>
    <t>1.013.4.0121</t>
  </si>
  <si>
    <t>1.013.4.0119</t>
  </si>
  <si>
    <t>1.013.4.0106</t>
  </si>
  <si>
    <t>1.013.4.0230</t>
  </si>
  <si>
    <t>1.013.4.0118</t>
  </si>
  <si>
    <t>1.013.4.0205</t>
  </si>
  <si>
    <t>1.013.4.0228</t>
  </si>
  <si>
    <t>1.013.4.0240</t>
  </si>
  <si>
    <t>18.02.2015</t>
  </si>
  <si>
    <t>16.06.2017</t>
  </si>
  <si>
    <t>23.11.2017</t>
  </si>
  <si>
    <t>28.12.2012</t>
  </si>
  <si>
    <t>21.01.2016</t>
  </si>
  <si>
    <t>24.12.2012</t>
  </si>
  <si>
    <t>03.07.2015</t>
  </si>
  <si>
    <t>25.12.2015</t>
  </si>
  <si>
    <t>19.11.2018</t>
  </si>
  <si>
    <t>мотопомпа Кратон GWP-50</t>
  </si>
  <si>
    <t>мотопомпа Koshin Robin Subaru SE-50X</t>
  </si>
  <si>
    <t>1.013.4.0128</t>
  </si>
  <si>
    <t>1.013.4.0234</t>
  </si>
  <si>
    <t>1.013.4.0161</t>
  </si>
  <si>
    <t>01.09.2014</t>
  </si>
  <si>
    <t>спортивный комплекс (Т126) с.Троица</t>
  </si>
  <si>
    <t>спортивный комплекс (Т67Д) с.Троица</t>
  </si>
  <si>
    <t>детский городок Г-524 с.Троица</t>
  </si>
  <si>
    <t>1.013.6.0106</t>
  </si>
  <si>
    <t>1.013.6.0105</t>
  </si>
  <si>
    <t>1.013.6.0102</t>
  </si>
  <si>
    <t>29.09.2014</t>
  </si>
  <si>
    <t>детский спортивный комплекс п.Кирпичный</t>
  </si>
  <si>
    <t>детский игровой комплекс п.Кирпичный</t>
  </si>
  <si>
    <t>1.013.6.0062</t>
  </si>
  <si>
    <t>1.013.6.0061</t>
  </si>
  <si>
    <t>24.09.2013</t>
  </si>
  <si>
    <t>спортивный комплекс д.Белогорье</t>
  </si>
  <si>
    <t>игровой комплекс д.Белогорье</t>
  </si>
  <si>
    <t>диван-качели  д.Белогорье</t>
  </si>
  <si>
    <t>1.013.6.0121</t>
  </si>
  <si>
    <t>1.013.6.0119</t>
  </si>
  <si>
    <t>1.013.6.0120</t>
  </si>
  <si>
    <t>03.03.2015</t>
  </si>
  <si>
    <t>101.36  производственный и хозяйственный инвентарь</t>
  </si>
  <si>
    <t xml:space="preserve">101.34 машины и оборудования </t>
  </si>
  <si>
    <t>101.35 транспортные средства</t>
  </si>
  <si>
    <t>остановочный комплекс (2500*3500*1200) сборно-разборный</t>
  </si>
  <si>
    <t>детский игровой комплекс Н г.=1,2 д.Ягурьях ул.Таёжная 2</t>
  </si>
  <si>
    <t>1.013.6.0139</t>
  </si>
  <si>
    <t>1.013.6.0135</t>
  </si>
  <si>
    <t>14.11.2018</t>
  </si>
  <si>
    <t>01.09.2016</t>
  </si>
  <si>
    <t>сварочный аппарат Ресанта САИ 220 65/3</t>
  </si>
  <si>
    <t>1.013.6.0137</t>
  </si>
  <si>
    <t>генератор ННУ 7000 FL</t>
  </si>
  <si>
    <t>1.013.6.0059</t>
  </si>
  <si>
    <t>30.12.2012</t>
  </si>
  <si>
    <t>шкаф офисный</t>
  </si>
  <si>
    <t>1.013.6.0128</t>
  </si>
  <si>
    <t>1.013.6.0123</t>
  </si>
  <si>
    <t>шкаф металлический "Практик"</t>
  </si>
  <si>
    <t>1.013.6.0038</t>
  </si>
  <si>
    <t>шкаф комбинированный</t>
  </si>
  <si>
    <t>1.013.6.0036</t>
  </si>
  <si>
    <t>шкаф для документов "Формула" (80*45*219), ольха</t>
  </si>
  <si>
    <t>1.013.6.0067</t>
  </si>
  <si>
    <t>шкаф бухгалтерский 2 двери 4 полки 1850*880*390</t>
  </si>
  <si>
    <t>1.013.6.0122</t>
  </si>
  <si>
    <t>1.013.6.0117</t>
  </si>
  <si>
    <t>1.013.6.0113</t>
  </si>
  <si>
    <t>стол ЛС-24П</t>
  </si>
  <si>
    <t>1.013.6.0025</t>
  </si>
  <si>
    <t>сейф FRS-75 T-KL</t>
  </si>
  <si>
    <t>1.013.6.0063</t>
  </si>
  <si>
    <t>сейф ASM 165 Т</t>
  </si>
  <si>
    <t>1.013.6.0112</t>
  </si>
  <si>
    <t>картотека AIKO AFC -05. 5 ящиков; 1660*466*631 (2015 г)</t>
  </si>
  <si>
    <t>1.013.6.0115</t>
  </si>
  <si>
    <t>брифинг-приставка</t>
  </si>
  <si>
    <t>1.013.6.0010</t>
  </si>
  <si>
    <t>20.10.2015</t>
  </si>
  <si>
    <t>25.10.2010</t>
  </si>
  <si>
    <t>15.12.2005</t>
  </si>
  <si>
    <t>20.12.2013</t>
  </si>
  <si>
    <t>17.03.2015</t>
  </si>
  <si>
    <t>24.02.2015</t>
  </si>
  <si>
    <t>15.12.2006</t>
  </si>
  <si>
    <t>21.12.2013</t>
  </si>
  <si>
    <t>11.12.2014</t>
  </si>
  <si>
    <t>песочница ПЕ 52/1 с.Троица</t>
  </si>
  <si>
    <t>1.013.8.0050</t>
  </si>
  <si>
    <t>качель МК-21 (Дельфин) с.Троица</t>
  </si>
  <si>
    <t>1.013.8.0048</t>
  </si>
  <si>
    <t>качалка-балансир МК20 с.Троица</t>
  </si>
  <si>
    <t>1.013.8.0047</t>
  </si>
  <si>
    <t>карусель К-5 с.Троица</t>
  </si>
  <si>
    <t>1.013.8.0049</t>
  </si>
  <si>
    <t>101.38 прочие основные средства</t>
  </si>
  <si>
    <t>песочница "Трио" п.Кирпичный</t>
  </si>
  <si>
    <t>1.013.8.0035</t>
  </si>
  <si>
    <t>бензопила Штиль 361 MS</t>
  </si>
  <si>
    <t>1.013.8.0009</t>
  </si>
  <si>
    <t>1.013.8.0008</t>
  </si>
  <si>
    <t>05.07.2011</t>
  </si>
  <si>
    <t>песочница "Ромашка" д.Белогорье</t>
  </si>
  <si>
    <t>1.013.8.0056</t>
  </si>
  <si>
    <t>компрессор Урал</t>
  </si>
  <si>
    <t>1.013.8.0019</t>
  </si>
  <si>
    <t>качалка-"Дельфин" д.Белогорье</t>
  </si>
  <si>
    <t>1.013.8.0054</t>
  </si>
  <si>
    <t>карусель д.Белогорье</t>
  </si>
  <si>
    <t>1.013.8.0055</t>
  </si>
  <si>
    <t>01.10.2012</t>
  </si>
  <si>
    <t>сирена С-40(С-40М)</t>
  </si>
  <si>
    <t>1.013.8.0014</t>
  </si>
  <si>
    <t>песочница "Ромашка" д.Ягурьях</t>
  </si>
  <si>
    <t>1.013.8.0065</t>
  </si>
  <si>
    <t>качалка на пружине 2-х местная "Кабриолет" д.Ягурьях</t>
  </si>
  <si>
    <t>013.8.0061</t>
  </si>
  <si>
    <t>карусель с рулем цена д.Ягурьях</t>
  </si>
  <si>
    <t>1.013.8.0062</t>
  </si>
  <si>
    <t>горка нерж. Н площадки=1,8 м д.Ягурьях</t>
  </si>
  <si>
    <t>1.013.8.0064</t>
  </si>
  <si>
    <t>03.02.2012</t>
  </si>
  <si>
    <t>1.013.8.0088</t>
  </si>
  <si>
    <t>мемориальный комплекс д.Ягурьях</t>
  </si>
  <si>
    <t>030.09.2018</t>
  </si>
  <si>
    <t>мотопомпа PTG307 ST</t>
  </si>
  <si>
    <t>1.013.8.0044</t>
  </si>
  <si>
    <t>30.07.2014</t>
  </si>
  <si>
    <t>скамейка детская на металлических ножках Крокодил п.Луговской (ул.Ленина д.44)</t>
  </si>
  <si>
    <t>1.013.8.0068</t>
  </si>
  <si>
    <t>пожарная машина п.Луговской (игровая) (ул.Ленина д.44)</t>
  </si>
  <si>
    <t>1.013.8.0070</t>
  </si>
  <si>
    <t>качалка на пружине "Квадрацикл" п.Луговской (ул.Ленина д.44)</t>
  </si>
  <si>
    <t>1.013.8.0066</t>
  </si>
  <si>
    <t>06.09.2016</t>
  </si>
  <si>
    <t>Имущество АСП - КАЗНА</t>
  </si>
  <si>
    <t>108.51  недвижимого имущества</t>
  </si>
  <si>
    <t>1.085.1.0005</t>
  </si>
  <si>
    <t>1.080.1.0441</t>
  </si>
  <si>
    <t>1.080.1.0200</t>
  </si>
  <si>
    <t>1.080.1.0201</t>
  </si>
  <si>
    <t>1.085.1.0002</t>
  </si>
  <si>
    <t>1.080.1.0014</t>
  </si>
  <si>
    <t>1.080.1.0221</t>
  </si>
  <si>
    <t>1.080.0.0061</t>
  </si>
  <si>
    <t>1.085.1.0009</t>
  </si>
  <si>
    <t>1.085.1.0006</t>
  </si>
  <si>
    <t>1.085.1.0064</t>
  </si>
  <si>
    <t xml:space="preserve"> 86 АБ 000600 </t>
  </si>
  <si>
    <t xml:space="preserve"> 86 АБ 533219</t>
  </si>
  <si>
    <t xml:space="preserve"> 86 АБ 990317</t>
  </si>
  <si>
    <t>86 АБ 365684</t>
  </si>
  <si>
    <t xml:space="preserve"> 86 АБ 365685 </t>
  </si>
  <si>
    <t>трактор "Беларус 82.1" с.Троица</t>
  </si>
  <si>
    <t>1.085.2.0004</t>
  </si>
  <si>
    <t>насос К 100-80-160 с.Троица</t>
  </si>
  <si>
    <t>1.085.2.0015</t>
  </si>
  <si>
    <t>насос К 8/18 с.Троица</t>
  </si>
  <si>
    <t>1.085.2.0017</t>
  </si>
  <si>
    <t>1.085.2.0016</t>
  </si>
  <si>
    <t>мотопомпа SST-50 HX Honda Daishin с.Троица</t>
  </si>
  <si>
    <t>1.080.2.0029</t>
  </si>
  <si>
    <t xml:space="preserve">мотопомпа (котельная) с.Троица </t>
  </si>
  <si>
    <t>1.085.2.0013</t>
  </si>
  <si>
    <t>котел КВр-1 (1,16МВт) с.Троица</t>
  </si>
  <si>
    <t>1.085.2.0012</t>
  </si>
  <si>
    <t>1.085.2.0011</t>
  </si>
  <si>
    <t>дымосос ДН-80  котельная с.Троица</t>
  </si>
  <si>
    <t>1.085.2.0010</t>
  </si>
  <si>
    <t>дымосос ДН-8 (15/1500) котельная с.Троица</t>
  </si>
  <si>
    <t>1.085.2.0009</t>
  </si>
  <si>
    <t>вентилятор Ц-14-46 №35 с.Троица</t>
  </si>
  <si>
    <t>1.085.2.0008</t>
  </si>
  <si>
    <t>1.085.2.0007</t>
  </si>
  <si>
    <t>1.085.2.0006</t>
  </si>
  <si>
    <t>ул.Комсомольская д.5а кв.3 п.Луговской</t>
  </si>
  <si>
    <t>1.080.1.0255</t>
  </si>
  <si>
    <t>ул.Комсомольская д.5 кв.20 п.Луговской</t>
  </si>
  <si>
    <t>1.080.1.0305</t>
  </si>
  <si>
    <t>ул.Комсомольская д.5 кв.18 п.Луговской</t>
  </si>
  <si>
    <t>1.080.1.0283</t>
  </si>
  <si>
    <t>ул.Комсомольская д.5 кв.16 п.Луговской</t>
  </si>
  <si>
    <t>1.080.1.0428</t>
  </si>
  <si>
    <t>ул.Комсомольская д.5 кв.10 п.Луговской</t>
  </si>
  <si>
    <t>1.080.1.0199</t>
  </si>
  <si>
    <t>ул.Комсомольская д.5 кв.3 п.Луговской</t>
  </si>
  <si>
    <t>1.080.1.0427</t>
  </si>
  <si>
    <t>ул.Комсомольская д.4 кв.11 п.Луговской</t>
  </si>
  <si>
    <t>1.080.1.0080</t>
  </si>
  <si>
    <t>ул.Комсомольская д.4 кв.10 п.Луговской</t>
  </si>
  <si>
    <t>1.080.0.0056</t>
  </si>
  <si>
    <t>ул.Комсомольская д.3А п.Луговской</t>
  </si>
  <si>
    <t>1.080.1.0104</t>
  </si>
  <si>
    <t>ул.Комсомольская д.2 п.Кирпичный</t>
  </si>
  <si>
    <t>1.080.1.0079</t>
  </si>
  <si>
    <t>ул.Комсомольская д.2 кв.4 п.Луговской</t>
  </si>
  <si>
    <t>1.080.1.0381</t>
  </si>
  <si>
    <t>ул.Комсомольская д.2 кв.1 п.Луговской</t>
  </si>
  <si>
    <t>1.080.1.0078</t>
  </si>
  <si>
    <t>ул.Комсомольская д.1 кв.8 п.Луговской</t>
  </si>
  <si>
    <t>1.080.1.0038</t>
  </si>
  <si>
    <t>ул.Комсомольская д.1 кв.6 п.Луговской</t>
  </si>
  <si>
    <t>1.080.1.0037</t>
  </si>
  <si>
    <t>ул.Комсомольская д.1 кв.4 п.Луговской</t>
  </si>
  <si>
    <t>1.080.1.0036</t>
  </si>
  <si>
    <t>ул.Комсомольская д.1 кв.1 п.Кирпичный</t>
  </si>
  <si>
    <t>1.000.0.0001</t>
  </si>
  <si>
    <t>ул.Заводская д.11 кв.2 п.Луговской</t>
  </si>
  <si>
    <t>1.085.0.0032</t>
  </si>
  <si>
    <t>ул.Заводская д.8 кв.1 п.Луговской</t>
  </si>
  <si>
    <t>1.080.1.0249</t>
  </si>
  <si>
    <t/>
  </si>
  <si>
    <t>ул.Заводская д.1 кв.14 п.Луговской</t>
  </si>
  <si>
    <t>1.085.0.0022</t>
  </si>
  <si>
    <t>ул.Заводская д.1 кв.12 п.Луговской</t>
  </si>
  <si>
    <t>1.085.0.0021</t>
  </si>
  <si>
    <t>ул.Заводская д.1 кв.10 п.Луговской</t>
  </si>
  <si>
    <t>1.085.0.0020</t>
  </si>
  <si>
    <t>ул.Заводская д.1 кв.9 п.Луговской</t>
  </si>
  <si>
    <t>1.085.0.0019</t>
  </si>
  <si>
    <t>ул.Заводская д.1 кв.8 п.Луговской</t>
  </si>
  <si>
    <t>1.085.0.0018</t>
  </si>
  <si>
    <t>ул.Заводская д.1 кв.7 п.Луговской</t>
  </si>
  <si>
    <t>1.085.0.0017</t>
  </si>
  <si>
    <t>ул.Заводская д.1 кв.6 п.Луговской</t>
  </si>
  <si>
    <t>1.080.1.0387</t>
  </si>
  <si>
    <t>ул.Заводская д.1 кв.3 п.Луговской</t>
  </si>
  <si>
    <t>1.085.0.0015</t>
  </si>
  <si>
    <t>ул.Заводская д.1 кв.2 п.Луговской</t>
  </si>
  <si>
    <t>1.085.0.0014</t>
  </si>
  <si>
    <t>ул.Дурицына д.40 кв.6  п.Кирпичный</t>
  </si>
  <si>
    <t>1.080.1.0316</t>
  </si>
  <si>
    <t>ул.Дурицына д.40 кв.4  п.Кирпичный</t>
  </si>
  <si>
    <t>1.080.1.0315</t>
  </si>
  <si>
    <t>ул.Дурицына д.40  кв.2 п.Кирпичный</t>
  </si>
  <si>
    <t>1.080.1.0289</t>
  </si>
  <si>
    <t>ул.Дурицына д.38 кв.2 п.Кирпичный</t>
  </si>
  <si>
    <t>1.085.0.0010</t>
  </si>
  <si>
    <t>ул.Дурицына д.38 кв.1 п.Кирпичный</t>
  </si>
  <si>
    <t>1.085.0.0009</t>
  </si>
  <si>
    <t>ул.Дурицына д.34 кв.2 п.Кирпичный</t>
  </si>
  <si>
    <t>1.080.1.0210</t>
  </si>
  <si>
    <t>ул.Дурицына д.30 кв.4 п.Кирпичный</t>
  </si>
  <si>
    <t>1.080.1.0358</t>
  </si>
  <si>
    <t>ул.Дурицына д.30 кв.3 п.Кирпичный</t>
  </si>
  <si>
    <t>1.080.1.0357</t>
  </si>
  <si>
    <t>ул.Дурицына д.30 кв.2 п.Кирпичный</t>
  </si>
  <si>
    <t>1.080.1.0356</t>
  </si>
  <si>
    <t>ул.Дурицына д.30 кв.1 п.Кирпичный</t>
  </si>
  <si>
    <t>1.080.1.0355</t>
  </si>
  <si>
    <t>ул.Дурицына д.25 п.Кирпичный</t>
  </si>
  <si>
    <t>1.080.1.0314</t>
  </si>
  <si>
    <t>ул.Дурицына д.21 п.Кирпичный</t>
  </si>
  <si>
    <t>1.085.0.0007</t>
  </si>
  <si>
    <t>ул.Дурицына д.17а кв.3 п.Кирпичный</t>
  </si>
  <si>
    <t>1.085.0.0005</t>
  </si>
  <si>
    <t>ул.Дурицына д.17а кв.1 п.Кирпичный</t>
  </si>
  <si>
    <t>1.085.0.0004</t>
  </si>
  <si>
    <t>ул.Дурицына д.17 п.Кирпичный</t>
  </si>
  <si>
    <t>1.085.0.0003</t>
  </si>
  <si>
    <t>ул.Дурицына д.16 кв.4 п.Кирпичный</t>
  </si>
  <si>
    <t>1.080.1.0440</t>
  </si>
  <si>
    <t>ул.Дурицына д.16 кв.3 п.Кирпичный</t>
  </si>
  <si>
    <t>1.080.1.0439</t>
  </si>
  <si>
    <t>ул.Дурицына д.16 кв.1 п.Кирпичный</t>
  </si>
  <si>
    <t>1.080.1.0438</t>
  </si>
  <si>
    <t>ул.Дурицына д.15 п.Кирпичный</t>
  </si>
  <si>
    <t>1.085.0.0002</t>
  </si>
  <si>
    <t>ул.Дурицына д.5 кв.3  п.Кирпичный</t>
  </si>
  <si>
    <t>1.080.1.0430</t>
  </si>
  <si>
    <t>ул.Дурицына д.3 п.Кирпичный</t>
  </si>
  <si>
    <t>1.085.1.0087</t>
  </si>
  <si>
    <t>ул.Дурицина д.39 кв.3 п.Кирпичный</t>
  </si>
  <si>
    <t>1.085.0.0012</t>
  </si>
  <si>
    <t>ул.Гагарина д.49 кв.2 п.Луговской</t>
  </si>
  <si>
    <t>1.085.1.0084</t>
  </si>
  <si>
    <t>ул.Гагарина д.47 кв.1 п.Луговской</t>
  </si>
  <si>
    <t>1.080.1.0382</t>
  </si>
  <si>
    <t>ул.Гагарина д.28 кв.21 п.Луговской</t>
  </si>
  <si>
    <t>1.080.1.0420</t>
  </si>
  <si>
    <t>ул.Гагарина д.28 кв.20 п.Луговской</t>
  </si>
  <si>
    <t>1.080.1.0406</t>
  </si>
  <si>
    <t>1.080.1.0402</t>
  </si>
  <si>
    <t>ул.Гагарина д.28 кв.9 п.Луговской</t>
  </si>
  <si>
    <t>1.080.1.0398</t>
  </si>
  <si>
    <t>ул.Гагарина д.28 кв.6 п.Луговской</t>
  </si>
  <si>
    <t>1.080.1.0397</t>
  </si>
  <si>
    <t>ул.Гагарина д.23 кв.2 п.Луговской</t>
  </si>
  <si>
    <t>1.085.1.0056</t>
  </si>
  <si>
    <t>ул.Гагарина д.23 кв.1 п.Луговской</t>
  </si>
  <si>
    <t>1.085.1.0055</t>
  </si>
  <si>
    <t>ул.Гагарина д.22 кв.6 п.Луговской</t>
  </si>
  <si>
    <t>1.085.1.0054</t>
  </si>
  <si>
    <t>ул.Гагарина д.22 кв.5 п.Луговской</t>
  </si>
  <si>
    <t>1.085.1.0053</t>
  </si>
  <si>
    <t>ул.Гагарина д.22 кв.4 п.Луговской</t>
  </si>
  <si>
    <t>1.085.1.0052</t>
  </si>
  <si>
    <t>ул.Гагарина д.22 кв.2 п.Луговской</t>
  </si>
  <si>
    <t>1.085.1.0051</t>
  </si>
  <si>
    <t>ул.Гагарина д.22 кв.1 п.Луговской</t>
  </si>
  <si>
    <t>1.085.1.0050</t>
  </si>
  <si>
    <t>ул.Гагарина д.21 кв.9 п.Луговской</t>
  </si>
  <si>
    <t>1.085.1.0049</t>
  </si>
  <si>
    <t>ул.Гагарина д.21 кв.7 п.Луговской</t>
  </si>
  <si>
    <t>1.085.1.0048</t>
  </si>
  <si>
    <t>ул.Гагарина д.21 кв.6 п.Луговской</t>
  </si>
  <si>
    <t>1.085.1.0047</t>
  </si>
  <si>
    <t>ул.Гагарина д.21 кв.5 п.Луговской</t>
  </si>
  <si>
    <t>1.085.1.0046</t>
  </si>
  <si>
    <t>ул.Гагарина д.21 кв.4 п.Луговской</t>
  </si>
  <si>
    <t>1.085.1.0045</t>
  </si>
  <si>
    <t>ул.Гагарина д.21 кв.2 п.Луговской</t>
  </si>
  <si>
    <t>1.085.1.0044</t>
  </si>
  <si>
    <t>ул.Гагарина д.12 кв.6 п.Луговской</t>
  </si>
  <si>
    <t>1.085.1.0029</t>
  </si>
  <si>
    <t>ул.Гагарина д.10 кв.3 п.Луговской</t>
  </si>
  <si>
    <t>1.085.1.0027</t>
  </si>
  <si>
    <t>ул.Ахметшина д.11 кв.4  п.Кирпичный</t>
  </si>
  <si>
    <t>1.080.1.0320</t>
  </si>
  <si>
    <t>ул.Ахметшина д.9 кв.2  п.Кирпичный</t>
  </si>
  <si>
    <t>1.080.1.0319</t>
  </si>
  <si>
    <t>ул.Ахметшина д.9 кв.1 п.Кирпичный</t>
  </si>
  <si>
    <t>1.080.1.0252</t>
  </si>
  <si>
    <t>ул.Ахметшина д.8 кв.3 п.Кирпичный</t>
  </si>
  <si>
    <t>1.085.1.0244</t>
  </si>
  <si>
    <t>ул.Ахметшина д.8 кв.2 п.Кирпичный</t>
  </si>
  <si>
    <t>1.085.1.0020</t>
  </si>
  <si>
    <t>ул.Ахметшина д.8 кв.1 п.Кирпичный</t>
  </si>
  <si>
    <t>1.085.1.0019</t>
  </si>
  <si>
    <t>ул.Ахметшина д.7 п.Кирпичный</t>
  </si>
  <si>
    <t>1.085.1.0018</t>
  </si>
  <si>
    <t>ул.Ахметшина д.6А кв.3 п.Кирпичный</t>
  </si>
  <si>
    <t>1.080.1.0208</t>
  </si>
  <si>
    <t>ул.Ахметшина д.6А кв.2 п.Кирпичный</t>
  </si>
  <si>
    <t>1.080.1.0207</t>
  </si>
  <si>
    <t>ул.Ахметшина д.6А кв.1 п.Кирпичный</t>
  </si>
  <si>
    <t>1.080.1.0206</t>
  </si>
  <si>
    <t>ул.Ахметшина д.6 кв.4 п.Кирпичный</t>
  </si>
  <si>
    <t>1.080.1.0231</t>
  </si>
  <si>
    <t>ул.Ахметшина д.6 кв.3 п.Кирпичный</t>
  </si>
  <si>
    <t>1.080.1.0230</t>
  </si>
  <si>
    <t>ул.Ахметшина д.6 кв.2 п.Кирпичный</t>
  </si>
  <si>
    <t>1.080.1.0229</t>
  </si>
  <si>
    <t>ул.Ахметшина д.6 кв.1 п.Кирпичный</t>
  </si>
  <si>
    <t>1.080.1.0228</t>
  </si>
  <si>
    <t>ул.Ахметшина д.4 кв.3 п.Кирпичный</t>
  </si>
  <si>
    <t>1.080.1.0436</t>
  </si>
  <si>
    <t>ул.Ахметшина д.4 кв.2 п.Кирпичный</t>
  </si>
  <si>
    <t>1.085.1.0017</t>
  </si>
  <si>
    <t>ул.Ахметшина д.4 кв.1 п.Кирпичный</t>
  </si>
  <si>
    <t>1.085.1.0016</t>
  </si>
  <si>
    <t>ул.Ахметшина д.1 п.Кирпичный</t>
  </si>
  <si>
    <t>1.085.1.0013</t>
  </si>
  <si>
    <t>переул.Строителей д.9 кв.8 п.Кирпичный</t>
  </si>
  <si>
    <t>1.080.1.0378</t>
  </si>
  <si>
    <t>переул.Строителей д.9 кв.7 п.Кирпичный</t>
  </si>
  <si>
    <t>1.080.1.0377</t>
  </si>
  <si>
    <t>переул.Строителей д.9 кв.4 п.Кирпичный</t>
  </si>
  <si>
    <t>1.080.1.0376</t>
  </si>
  <si>
    <t>переул.Строителей д.9 кв.3 п.Кирпичный</t>
  </si>
  <si>
    <t>1.080.1.0375</t>
  </si>
  <si>
    <t>переул.Строителей д.7 кв.1 п.Кирпичный</t>
  </si>
  <si>
    <t>1.080.1.0297</t>
  </si>
  <si>
    <t>переул.Строителей д.5 кв.1 п.Кирпичный</t>
  </si>
  <si>
    <t>1.080.1.0280</t>
  </si>
  <si>
    <t>переул.Береговой д.2 д.Ягурьях</t>
  </si>
  <si>
    <t>1.080.1.0329</t>
  </si>
  <si>
    <t>86 АВ 001771</t>
  </si>
  <si>
    <t xml:space="preserve"> 86 АБ 719565 </t>
  </si>
  <si>
    <t>Решение ХМР суда от 29.08.2013</t>
  </si>
  <si>
    <t xml:space="preserve"> 86 АБ 879004 </t>
  </si>
  <si>
    <t>Приказ Деп-та гос.собственности ХМАО-Югры "О разграничении имущества, находящегося в мун.собственности ХМРН" №1790 от 30.05.2008</t>
  </si>
  <si>
    <t xml:space="preserve">86 АБ 527415 </t>
  </si>
  <si>
    <t xml:space="preserve">86 АБ 533220 </t>
  </si>
  <si>
    <t xml:space="preserve"> 86 АБ 533286</t>
  </si>
  <si>
    <t>86 АБ 719496</t>
  </si>
  <si>
    <t>Договор о безвозмездной передачи имущества от 11.10.2013 №16/31/13</t>
  </si>
  <si>
    <t xml:space="preserve"> 86 АБ 718427</t>
  </si>
  <si>
    <t xml:space="preserve"> 86 АБ 719624</t>
  </si>
  <si>
    <t xml:space="preserve"> 86 АБ 718002</t>
  </si>
  <si>
    <t>Приказ ДИЗО Администрации ХМР " О безвозмездной передаче имущества в мун.собственность СП Луговской" от 18.04.2012 №416-п</t>
  </si>
  <si>
    <t xml:space="preserve"> 86 АБ 527308</t>
  </si>
  <si>
    <t xml:space="preserve"> 86 АБ 527309</t>
  </si>
  <si>
    <t xml:space="preserve"> 86 АБ 527310 </t>
  </si>
  <si>
    <t xml:space="preserve"> 86 АБ 533223 </t>
  </si>
  <si>
    <t xml:space="preserve"> 86 АБ 533285</t>
  </si>
  <si>
    <t xml:space="preserve"> 86 АБ 52714</t>
  </si>
  <si>
    <t xml:space="preserve"> 86 АБ 527165 </t>
  </si>
  <si>
    <t xml:space="preserve">86 АБ 533188 </t>
  </si>
  <si>
    <t>Договор безвозмездной передачи № 16/56/14 от 16.12.2014</t>
  </si>
  <si>
    <t xml:space="preserve"> 86-АВ 001650</t>
  </si>
  <si>
    <t>Договор безвыозмездной передачи имущества №16/56/14 от 16.12.2014</t>
  </si>
  <si>
    <t>86-АВ 001649</t>
  </si>
  <si>
    <t>Договор безвозмездной передачи жил кв. от 20.06.2008</t>
  </si>
  <si>
    <t xml:space="preserve"> 72 НК 064120</t>
  </si>
  <si>
    <t xml:space="preserve">Приказ Деп-та гос.собственности ХМАО-Югры "О разграничении имущества, находящегося в мун.собственности ХМРН" №1790 от 30.05.2008, </t>
  </si>
  <si>
    <t xml:space="preserve"> 86 АБ 369939 </t>
  </si>
  <si>
    <t>27.01.201</t>
  </si>
  <si>
    <t xml:space="preserve"> 86 АБ 369953 </t>
  </si>
  <si>
    <t xml:space="preserve"> 86 АБ 370166</t>
  </si>
  <si>
    <t xml:space="preserve"> 86 АБ 370052</t>
  </si>
  <si>
    <t xml:space="preserve"> 86 АБ 370274 </t>
  </si>
  <si>
    <t>86 АБ 369955</t>
  </si>
  <si>
    <t>Договор безвозмездной передачи жилой квартиры от 23.12.2009</t>
  </si>
  <si>
    <t xml:space="preserve"> 72 НЛ 626264</t>
  </si>
  <si>
    <t xml:space="preserve"> 86 АБ 320641 </t>
  </si>
  <si>
    <t xml:space="preserve"> 86 АБ 321624 </t>
  </si>
  <si>
    <t xml:space="preserve"> 86 АБ 307923</t>
  </si>
  <si>
    <t xml:space="preserve"> 86 АБ 307802 </t>
  </si>
  <si>
    <t xml:space="preserve"> 86 АБ 186740</t>
  </si>
  <si>
    <t>Приказ Деп-та гос.собственности ХМАО-Югры "О разграничении имущества, находящегося в мун.собственности ХМРН" №1790 от 30.05.2008,</t>
  </si>
  <si>
    <t xml:space="preserve"> 86 АБ 527282 </t>
  </si>
  <si>
    <t xml:space="preserve"> 86 АБ 527400</t>
  </si>
  <si>
    <t xml:space="preserve"> 86 АБ 527283</t>
  </si>
  <si>
    <t>86 АБ 527290</t>
  </si>
  <si>
    <t xml:space="preserve"> 86 АБ 52729</t>
  </si>
  <si>
    <t xml:space="preserve"> 86 АБ 527294</t>
  </si>
  <si>
    <t>Договор безвозмездной передачи имущества №16/3/16 от 01.02.2016</t>
  </si>
  <si>
    <t>Договор о безвозмездной передачи от 22.05.2012</t>
  </si>
  <si>
    <t xml:space="preserve"> 86 АБ 435004</t>
  </si>
  <si>
    <t xml:space="preserve"> 86 АВ 047585 </t>
  </si>
  <si>
    <t xml:space="preserve"> 86 АВ 047584 </t>
  </si>
  <si>
    <t>Договор безвозмездной передачи №16/56/14 от 16.12.2014</t>
  </si>
  <si>
    <t>86:02:0501001:1008</t>
  </si>
  <si>
    <t xml:space="preserve"> 86 АВ 001644 </t>
  </si>
  <si>
    <t xml:space="preserve"> 86 АБ 880349 </t>
  </si>
  <si>
    <t>Договор безвозмездной передачи № 16/56/14 от 16.12.2014,</t>
  </si>
  <si>
    <t xml:space="preserve"> 86 АВ 001646 </t>
  </si>
  <si>
    <t xml:space="preserve"> 86 АБ 089674</t>
  </si>
  <si>
    <t xml:space="preserve"> 86 АБ 089673</t>
  </si>
  <si>
    <t xml:space="preserve"> 86 АБ 089495</t>
  </si>
  <si>
    <t xml:space="preserve"> 86 АБ 527259</t>
  </si>
  <si>
    <t>Приказ ДИЗОП "О передаче " №344 от 26.04.2011</t>
  </si>
  <si>
    <t xml:space="preserve">86 АБ 527261 </t>
  </si>
  <si>
    <t>86 АБ 089496</t>
  </si>
  <si>
    <t xml:space="preserve"> 86 АБ 089497 </t>
  </si>
  <si>
    <t xml:space="preserve"> 86 АБ 089498</t>
  </si>
  <si>
    <t>Договор безвозмездной передачи имущества от 23.12.2013 №16/40/13</t>
  </si>
  <si>
    <t xml:space="preserve">86 АБ 768484 </t>
  </si>
  <si>
    <t xml:space="preserve">Приказ ДИЗОП "  О передаче ОС" "326 -п от 17.06.2008, </t>
  </si>
  <si>
    <t xml:space="preserve"> 86 АБ 106142 </t>
  </si>
  <si>
    <t xml:space="preserve">86 АБ 527749 </t>
  </si>
  <si>
    <t xml:space="preserve"> 86 АБ 105842</t>
  </si>
  <si>
    <t xml:space="preserve"> 86 АБ 107705 </t>
  </si>
  <si>
    <t>86 АБ 212357</t>
  </si>
  <si>
    <t xml:space="preserve"> 86 АБ 107625 </t>
  </si>
  <si>
    <t xml:space="preserve"> 86 АБ 533291</t>
  </si>
  <si>
    <t xml:space="preserve">Договор безвозмездной передачи жилого дома с земельным участком от 20.02.2009, </t>
  </si>
  <si>
    <t xml:space="preserve">72 НЛ 420287 </t>
  </si>
  <si>
    <t>Приказ ДИЗОП  "О передаче  имущества"  №344-п  от 26.06.2011,</t>
  </si>
  <si>
    <t xml:space="preserve"> 86 АБ 527260</t>
  </si>
  <si>
    <t>Договор безвозмездной  передачи имущества от 31.12.2014 № 16/61/14</t>
  </si>
  <si>
    <t xml:space="preserve"> 86 АВ 001770  </t>
  </si>
  <si>
    <t xml:space="preserve">Решение ХМР суда от 21.09.2011, </t>
  </si>
  <si>
    <t xml:space="preserve"> 86 АБ 365850</t>
  </si>
  <si>
    <t xml:space="preserve">86 АБ 719651 </t>
  </si>
  <si>
    <t xml:space="preserve">Решение ХМР суда от 29.04.2014, </t>
  </si>
  <si>
    <t xml:space="preserve"> 86 АБ 854202</t>
  </si>
  <si>
    <t>ул.Комсомольская д.7а кв.28 п.Луговской</t>
  </si>
  <si>
    <t>1.080.1.0097</t>
  </si>
  <si>
    <t>ул.Комсомольская д.7а кв.25 п.Луговской</t>
  </si>
  <si>
    <t>1.080.1.0095</t>
  </si>
  <si>
    <t>ул.Комсомольская д.7а кв.22 п.Луговской</t>
  </si>
  <si>
    <t>1.080.1.0093</t>
  </si>
  <si>
    <t>ул.Комсомольская д.7а кв.10 п.Луговской</t>
  </si>
  <si>
    <t>1.080.1.0086</t>
  </si>
  <si>
    <t>ул.Комсомольская д.7а кв.7 п.Луговской</t>
  </si>
  <si>
    <t>1.080.1.0102</t>
  </si>
  <si>
    <t>ул.Комсомольская д.7 кв.8 п.Луговской</t>
  </si>
  <si>
    <t>1.080.1.0085</t>
  </si>
  <si>
    <t>ул.Комсомольская д.6 кв.2  п.Кирпичный</t>
  </si>
  <si>
    <t>1.080.1.0084</t>
  </si>
  <si>
    <t>ул.Комсомольская д.5а кв.25 п.Луговской</t>
  </si>
  <si>
    <t>1.080.1.0274</t>
  </si>
  <si>
    <t>ул.Комсомольская д.5а кв.23 п.Луговской</t>
  </si>
  <si>
    <t>1.080.1.0273</t>
  </si>
  <si>
    <t>ул.Комсомольская д.5а кв.22 п.Луговской</t>
  </si>
  <si>
    <t>1.080.1.0272</t>
  </si>
  <si>
    <t>ул.Комсомольская д.5а кв.21 п.Луговской</t>
  </si>
  <si>
    <t>1.080.1.0271</t>
  </si>
  <si>
    <t>ул.Комсомольская д.5а кв.19 п.Луговской</t>
  </si>
  <si>
    <t>1.080.1.0270</t>
  </si>
  <si>
    <t>ул.Комсомольская д.5а кв.17 п.Луговской</t>
  </si>
  <si>
    <t>1.080.1.0268</t>
  </si>
  <si>
    <t>ул.Комсомольская д.5а кв.16 п.Луговской</t>
  </si>
  <si>
    <t>1.080.1.0267</t>
  </si>
  <si>
    <t>ул.Комсомольская д.5а кв.15 п.Луговской</t>
  </si>
  <si>
    <t>1.080.1.0266</t>
  </si>
  <si>
    <t>ул.Комсомольская д.5а кв.8 п.Луговской</t>
  </si>
  <si>
    <t>1.080.1.0259</t>
  </si>
  <si>
    <t>ул.Комсомольская д.5а кв.4 п.Луговской</t>
  </si>
  <si>
    <t>1.080.1.0256</t>
  </si>
  <si>
    <t xml:space="preserve"> 86 АБ 849962 </t>
  </si>
  <si>
    <t xml:space="preserve"> 86 АБ 852116</t>
  </si>
  <si>
    <t xml:space="preserve"> 86 АБ 852129</t>
  </si>
  <si>
    <t xml:space="preserve">86 АБ 849963 </t>
  </si>
  <si>
    <t xml:space="preserve"> 86 АБ 852618 </t>
  </si>
  <si>
    <t xml:space="preserve"> 86 АБ 852853 </t>
  </si>
  <si>
    <t xml:space="preserve"> 86 АБ 852852 </t>
  </si>
  <si>
    <t xml:space="preserve"> 86 АБ 849957 </t>
  </si>
  <si>
    <t xml:space="preserve"> 86 АБ 852620 </t>
  </si>
  <si>
    <t xml:space="preserve"> 86 АБ 849964 </t>
  </si>
  <si>
    <t xml:space="preserve"> 86 АБ 527712</t>
  </si>
  <si>
    <t>Приказ ДИЗОП "О передаче имущества"  №344-п  от 26.04.2011</t>
  </si>
  <si>
    <t>86 АБ 527258</t>
  </si>
  <si>
    <t xml:space="preserve">Приказ ДИЗОП "О передаче имущества"  №989-п  от 29.12.2010, </t>
  </si>
  <si>
    <t>Приказ ДИЗОП "О передаче имущества"  №989-п  от 29.12.2010</t>
  </si>
  <si>
    <t>86 АБ 278270</t>
  </si>
  <si>
    <t xml:space="preserve"> 86 АБ 278101 </t>
  </si>
  <si>
    <t xml:space="preserve"> 86 АБ 279024</t>
  </si>
  <si>
    <t xml:space="preserve">Приказ ДИЗОП "О передаче имущества"  №926-п  от 21.12.2010, </t>
  </si>
  <si>
    <t xml:space="preserve"> 86 АБ 278505</t>
  </si>
  <si>
    <t>Приказ ДИЗОП "О передаче имущества"  №911-п  от 18.11.2011</t>
  </si>
  <si>
    <t xml:space="preserve"> 86 АБ 279588</t>
  </si>
  <si>
    <t>ул.Комсомольская д.19 кв.3 п.Кирпичный</t>
  </si>
  <si>
    <t>1.080.1.0313</t>
  </si>
  <si>
    <t>ул.Комсомольская д.18 кв.3 п.Кирпичный</t>
  </si>
  <si>
    <t>1.080.1.0077</t>
  </si>
  <si>
    <t>ул.Комсомольская д.13 кв.3 п.Кирпичный</t>
  </si>
  <si>
    <t>1.080.1.0069</t>
  </si>
  <si>
    <t>ул.Комсомольская д.13 кв.1 п.Кирпичный</t>
  </si>
  <si>
    <t>1.080.1.0064</t>
  </si>
  <si>
    <t>ул.Комсомольская д.12 кв.1 п.Кирпичный</t>
  </si>
  <si>
    <t>1.080.1.0068</t>
  </si>
  <si>
    <t>ул.Комсомольская д.11 кв.3 п.Кирпичный</t>
  </si>
  <si>
    <t>1.080.1.0066</t>
  </si>
  <si>
    <t>ул.Комсомольская д.11 кв.1 п.Кирпичный</t>
  </si>
  <si>
    <t>1.080.1.0065</t>
  </si>
  <si>
    <t>ул.Комсомольская д.10 кв.25 п.Кирпичный</t>
  </si>
  <si>
    <t>1.080.1.0056</t>
  </si>
  <si>
    <t>ул.Комсомольская д.10 кв.24 п.Кирпичный</t>
  </si>
  <si>
    <t>1.080.1.0055</t>
  </si>
  <si>
    <t>ул.Комсомольская д.10 кв.23 п.Кирпичный</t>
  </si>
  <si>
    <t>1.080.1.0054</t>
  </si>
  <si>
    <t>ул.Комсомольская д.10 кв.22 п.Кирпичный</t>
  </si>
  <si>
    <t>1.080.1.0053</t>
  </si>
  <si>
    <t>ул.Комсомольская д.10 кв.21 п.Кирпичный</t>
  </si>
  <si>
    <t>1.080.1.0052</t>
  </si>
  <si>
    <t>ул.Комсомольская д.10 кв.20 п.Кирпичный</t>
  </si>
  <si>
    <t>1.080.1.0051</t>
  </si>
  <si>
    <t>ул.Комсомольская д.10 кв.19 п.Кирпичный</t>
  </si>
  <si>
    <t>1.080.1.0049</t>
  </si>
  <si>
    <t>ул.Комсомольская д.10 кв.18 п.Кирпичный</t>
  </si>
  <si>
    <t>1.080.1.0048</t>
  </si>
  <si>
    <t>ул.Комсомольская д.10 кв.17 п.Кирпичный</t>
  </si>
  <si>
    <t>1.080.1.0047</t>
  </si>
  <si>
    <t>ул.Комсомольская д.10 кв.16 п.Кирпичный</t>
  </si>
  <si>
    <t>1.080.1.0046</t>
  </si>
  <si>
    <t>ул.Комсомольская д.10 кв.15 п.Кирпичный</t>
  </si>
  <si>
    <t>1.080.1.0045</t>
  </si>
  <si>
    <t>ул.Комсомольская д.10 кв.14 п.Кирпичный</t>
  </si>
  <si>
    <t>1.080.1.0044</t>
  </si>
  <si>
    <t>ул.Комсомольская д.10 кв.13 п.Кирпичный</t>
  </si>
  <si>
    <t>1.080.1.0043</t>
  </si>
  <si>
    <t>ул.Комсомольская д.10 кв.12 п.Кирпичный</t>
  </si>
  <si>
    <t>1.080.1.0042</t>
  </si>
  <si>
    <t>ул.Комсомольская д.10 кв.11 п.Кирпичный</t>
  </si>
  <si>
    <t>1.080.1.0041</t>
  </si>
  <si>
    <t>ул.Комсомольская д.10 кв.10 п.Кирпичный</t>
  </si>
  <si>
    <t>1.080.1.0040</t>
  </si>
  <si>
    <t>ул.Комсомольская д.10 кв.9 п.Кирпичный</t>
  </si>
  <si>
    <t>1.080.1.0061</t>
  </si>
  <si>
    <t>ул.Комсомольская д.10 кв.8 п.Кирпичный</t>
  </si>
  <si>
    <t>1.080.1.0062</t>
  </si>
  <si>
    <t>ул.Комсомольская д.10 кв.7 п.Кирпичный</t>
  </si>
  <si>
    <t>1.080.1.0063</t>
  </si>
  <si>
    <t>ул.Комсомольская д.10 кв.6 п.Кирпичный</t>
  </si>
  <si>
    <t>1.080.1.0060</t>
  </si>
  <si>
    <t>ул.Комсомольская д.10 кв.5 п.Кирпичный</t>
  </si>
  <si>
    <t>1.080.1.0059</t>
  </si>
  <si>
    <t>ул.Комсомольская д.10 кв.4 п.Кирпичный</t>
  </si>
  <si>
    <t>1.080.1.0058</t>
  </si>
  <si>
    <t>ул.Комсомольская д.10 кв.3 п.Кирпичный</t>
  </si>
  <si>
    <t>1.080.1.0057</t>
  </si>
  <si>
    <t>ул.Комсомольская д.10 кв.2 п.Кирпичный</t>
  </si>
  <si>
    <t>1.080.1.0050</t>
  </si>
  <si>
    <t>ул.Комсомольская д.10 кв.1 п.Кирпичный</t>
  </si>
  <si>
    <t>1.080.1.0039</t>
  </si>
  <si>
    <t>ул.Комсомольская д.9 кв.1 п.Кирпичный</t>
  </si>
  <si>
    <t>1.080.1.0103</t>
  </si>
  <si>
    <t xml:space="preserve"> 86 АБ 509435</t>
  </si>
  <si>
    <t xml:space="preserve"> 86 АБ 500001 </t>
  </si>
  <si>
    <t xml:space="preserve"> 86 АБ 499831 </t>
  </si>
  <si>
    <t xml:space="preserve"> 86 АБ 500080 </t>
  </si>
  <si>
    <t xml:space="preserve">86 АБ 499998 </t>
  </si>
  <si>
    <t xml:space="preserve">86 АБ 499962 </t>
  </si>
  <si>
    <t xml:space="preserve"> 86 АБ 500003 </t>
  </si>
  <si>
    <t xml:space="preserve"> 86 АБ 499832 </t>
  </si>
  <si>
    <t xml:space="preserve"> 86 АБ 499830</t>
  </si>
  <si>
    <t xml:space="preserve"> 86 АБ 500002 </t>
  </si>
  <si>
    <t xml:space="preserve"> 86 АБ 499963</t>
  </si>
  <si>
    <t xml:space="preserve"> 86 АБ 526969</t>
  </si>
  <si>
    <t xml:space="preserve"> 86 АБ 527475 </t>
  </si>
  <si>
    <t>86 АБ 526968</t>
  </si>
  <si>
    <t xml:space="preserve"> 86 АБ 509433 </t>
  </si>
  <si>
    <t xml:space="preserve"> 86 АБ 527713 </t>
  </si>
  <si>
    <t xml:space="preserve"> 86 АБ 527721 </t>
  </si>
  <si>
    <t xml:space="preserve"> 86 АБ 526966</t>
  </si>
  <si>
    <t xml:space="preserve"> 86 АБ 526967</t>
  </si>
  <si>
    <t xml:space="preserve"> 86 АБ 489638 </t>
  </si>
  <si>
    <t xml:space="preserve"> 86 АБ 489095 </t>
  </si>
  <si>
    <t xml:space="preserve"> 86 АБ 489640 </t>
  </si>
  <si>
    <t xml:space="preserve"> 86 АБ 526963 </t>
  </si>
  <si>
    <t xml:space="preserve"> 86 АВ 087983 </t>
  </si>
  <si>
    <t xml:space="preserve"> 86 АБ 526965</t>
  </si>
  <si>
    <t xml:space="preserve"> 86 АБ 488618</t>
  </si>
  <si>
    <t xml:space="preserve"> 86 АБ 527403 </t>
  </si>
  <si>
    <t xml:space="preserve"> 86 АБ 527404 </t>
  </si>
  <si>
    <t xml:space="preserve"> 86 АБ 527284 </t>
  </si>
  <si>
    <t xml:space="preserve"> 86 АБ 527287 </t>
  </si>
  <si>
    <t xml:space="preserve"> 86 АБ 527286</t>
  </si>
  <si>
    <t xml:space="preserve"> 86 АБ 533287</t>
  </si>
  <si>
    <t>ул.Ленина д.44 кв.20 п.Луговской</t>
  </si>
  <si>
    <t>1.080.1.0353</t>
  </si>
  <si>
    <t>ул.Ленина д.44 кв.18 п.Луговской</t>
  </si>
  <si>
    <t>1.080.1.0352</t>
  </si>
  <si>
    <t>ул.Ленина д.44 кв.16 п.Луговской</t>
  </si>
  <si>
    <t>1.080.1.0344</t>
  </si>
  <si>
    <t>ул.Ленина д.44 кв.15 п.Луговской</t>
  </si>
  <si>
    <t>1.080.1.0343</t>
  </si>
  <si>
    <t>ул.Ленина д.44 кв.13 п.Луговской</t>
  </si>
  <si>
    <t>1.080.1.0341</t>
  </si>
  <si>
    <t>ул.Ленина д.44 кв.12 п.Луговской</t>
  </si>
  <si>
    <t>1.080.1.0340</t>
  </si>
  <si>
    <t>ул.Ленина д.44 кв.5 п.Луговской</t>
  </si>
  <si>
    <t>1.080.1.0334</t>
  </si>
  <si>
    <t>ул.Ленина д.35 п.Луговской</t>
  </si>
  <si>
    <t>1.080.1.0326</t>
  </si>
  <si>
    <t>ул.Ленина д.21А кв.2 п.Луговской</t>
  </si>
  <si>
    <t>1.080.1.0384</t>
  </si>
  <si>
    <t>ул.Ленина д.21А кв.1 п.Луговской</t>
  </si>
  <si>
    <t>1.080.1.0383</t>
  </si>
  <si>
    <t>ул.Ленина д.21 кв.4 п.Луговской</t>
  </si>
  <si>
    <t>1.080.1.0116</t>
  </si>
  <si>
    <t>ул.Ленина д.21 кв.2 п.Луговской</t>
  </si>
  <si>
    <t>1.080.1.0114</t>
  </si>
  <si>
    <t>ул.Ленина д.21 кв.1 п.Луговской</t>
  </si>
  <si>
    <t>1.080.1.0113</t>
  </si>
  <si>
    <t>ул.Ленина д.8  кв.1  п.Луговской</t>
  </si>
  <si>
    <t>1.080.1.0324</t>
  </si>
  <si>
    <t>ул.Ленина д.1 кв.6  п.Луговской</t>
  </si>
  <si>
    <t>1.080.1.0323</t>
  </si>
  <si>
    <t>ул.Ленина д.1 кв.5  п.Луговской</t>
  </si>
  <si>
    <t>1.080.1.0322</t>
  </si>
  <si>
    <t>ул.Ленина д.1 кв.3  п.Луговской</t>
  </si>
  <si>
    <t>1.080.1.0321</t>
  </si>
  <si>
    <t xml:space="preserve">Договор безвозмездной передачи имущества от 16.12.2014 №16/56/14, </t>
  </si>
  <si>
    <t xml:space="preserve"> 86 АБ 527300 </t>
  </si>
  <si>
    <t xml:space="preserve"> 86 АБ 527298 </t>
  </si>
  <si>
    <t xml:space="preserve"> 86 АБ 527297 </t>
  </si>
  <si>
    <t>86 АВ 00176</t>
  </si>
  <si>
    <t xml:space="preserve"> 86 АВ 047052 </t>
  </si>
  <si>
    <t xml:space="preserve"> 86 АВ 047046</t>
  </si>
  <si>
    <t xml:space="preserve"> 86 АВ 047045</t>
  </si>
  <si>
    <t xml:space="preserve"> 86 АВ 047043</t>
  </si>
  <si>
    <t xml:space="preserve"> 86 АВ 047042</t>
  </si>
  <si>
    <t xml:space="preserve">86 АВ 114707 </t>
  </si>
  <si>
    <t xml:space="preserve">Договор безвозмездной передачи имущества от 27.11.2015 № 16/48/15, </t>
  </si>
  <si>
    <t xml:space="preserve"> 86 АВ 114706 </t>
  </si>
  <si>
    <t>ул.Ленина д.77 кв.12  п.Луговской</t>
  </si>
  <si>
    <t>1.080.1.0367</t>
  </si>
  <si>
    <t>ул.Ленина д.77 кв.10  п.Луговской</t>
  </si>
  <si>
    <t>1.080.1.0366</t>
  </si>
  <si>
    <t>ул.Ленина д.77 кв.9  п.Луговской</t>
  </si>
  <si>
    <t>1.080.1.0365</t>
  </si>
  <si>
    <t>ул.Ленина д.77 кв.5  п.Луговской</t>
  </si>
  <si>
    <t>1.080.1.0362</t>
  </si>
  <si>
    <t>ул.Ленина д.74 кв.11 п.Луговской</t>
  </si>
  <si>
    <t>1.080.1.0129</t>
  </si>
  <si>
    <t>ул.Ленина д.74 кв.8 п.Луговской</t>
  </si>
  <si>
    <t>1.080.1.0134</t>
  </si>
  <si>
    <t>ул.Ленина д.74 кв.7 п.Луговской</t>
  </si>
  <si>
    <t>1.080.1.0133</t>
  </si>
  <si>
    <t>ул.Ленина д.74 кв.5 п.Луговской</t>
  </si>
  <si>
    <t>1.080.1.0132</t>
  </si>
  <si>
    <t>ул.Ленина д.74 кв.2 п.Луговской</t>
  </si>
  <si>
    <t>1.080.1.0130</t>
  </si>
  <si>
    <t>ул.Ленина д.72 кв.8 п.Луговской</t>
  </si>
  <si>
    <t>1.080.1.0128</t>
  </si>
  <si>
    <t>ул.Ленина д.72 кв.7 п.Луговской</t>
  </si>
  <si>
    <t>1.080.1.0127</t>
  </si>
  <si>
    <t>ул.Ленина д.72 кв.5 п.Луговской</t>
  </si>
  <si>
    <t>1.080.1.0126</t>
  </si>
  <si>
    <t xml:space="preserve">86 АБ 187901 </t>
  </si>
  <si>
    <t xml:space="preserve">86 АБ 187732 </t>
  </si>
  <si>
    <t xml:space="preserve"> 86 АБ 187731</t>
  </si>
  <si>
    <t xml:space="preserve">86 АБ 278433 </t>
  </si>
  <si>
    <t xml:space="preserve"> 86 АБ 278421</t>
  </si>
  <si>
    <t xml:space="preserve"> 86 АБ 278425</t>
  </si>
  <si>
    <t xml:space="preserve"> 86 АБ 217003 </t>
  </si>
  <si>
    <t xml:space="preserve"> 86 АБ 216789</t>
  </si>
  <si>
    <t xml:space="preserve">Приказ ДИЗОП "О передаче ОС  имущества" №326-п от 17.06.2008, </t>
  </si>
  <si>
    <t>Договор безвозмездной передачи имущества от 09.02.2016 №16/06/16</t>
  </si>
  <si>
    <t>Договор безвозмездной передачи имущества от 09.02.2016 №16/06/16,</t>
  </si>
  <si>
    <t xml:space="preserve">Договор безвозмездной передачи имущества от 09.02.2016 №16/06/16, </t>
  </si>
  <si>
    <t>ул.Ленина д.101 кв.12 п.Луговской</t>
  </si>
  <si>
    <t>1.080.1.0385</t>
  </si>
  <si>
    <t>ул.Ленина д.101 кв.11 п.Луговской</t>
  </si>
  <si>
    <t>1.080.1.0107</t>
  </si>
  <si>
    <t>ул.Ленина д.101 кв.10 п.Луговской</t>
  </si>
  <si>
    <t>1.080.1.0106</t>
  </si>
  <si>
    <t>ул.Ленина д.101 кв.7 п.Луговской</t>
  </si>
  <si>
    <t>1.080.1.0112</t>
  </si>
  <si>
    <t>ул.Ленина д.101 кв.6 п.Луговской</t>
  </si>
  <si>
    <t>1.080.1.0423</t>
  </si>
  <si>
    <t>ул.Ленина д.101 кв.5 п.Луговской</t>
  </si>
  <si>
    <t>1.080.1.0111</t>
  </si>
  <si>
    <t>ул.Ленина д.101 кв.4 п.Луговской</t>
  </si>
  <si>
    <t>1.080.1.0110</t>
  </si>
  <si>
    <t>ул.Ленина д.101 кв.3 п.Луговской</t>
  </si>
  <si>
    <t>1.080.1.0109</t>
  </si>
  <si>
    <t>ул.Ленина д.101 кв.2 п.Луговской</t>
  </si>
  <si>
    <t>1.080.1.0108</t>
  </si>
  <si>
    <t>ул.Ленина д.101 кв.1 п.Луговской</t>
  </si>
  <si>
    <t>1.080.1.0105</t>
  </si>
  <si>
    <t>ул.Ленина д.99 кв.2 п.Луговской</t>
  </si>
  <si>
    <t>1.080.1.0160</t>
  </si>
  <si>
    <t>ул.Ленина д.99 кв.1 п.Луговской</t>
  </si>
  <si>
    <t>1.080.1.0159</t>
  </si>
  <si>
    <t>ул.Ленина д.97 кв.1 п.Луговской</t>
  </si>
  <si>
    <t>1.080.1.0158</t>
  </si>
  <si>
    <t>ул.Ленина д.81 кв.12 п.Луговской</t>
  </si>
  <si>
    <t>1.080.1.0154</t>
  </si>
  <si>
    <t>ул.Ленина д.81 кв.10 п.Луговской</t>
  </si>
  <si>
    <t>1.080.1.0153</t>
  </si>
  <si>
    <t>ул.Ленина д.81 кв.5 п.Луговской</t>
  </si>
  <si>
    <t>1.080.1.0156</t>
  </si>
  <si>
    <t>ул.Ленина д.81 кв.4 п.Луговской</t>
  </si>
  <si>
    <t>1.080.1.0157</t>
  </si>
  <si>
    <t>ул.Ленина д.81 кв.3 п.Луговской</t>
  </si>
  <si>
    <t>1.080.1.0155</t>
  </si>
  <si>
    <t>ул.Ленина д.81 кв.1 п.Луговской</t>
  </si>
  <si>
    <t>1.080.1.0152</t>
  </si>
  <si>
    <t>ул.Ленина д.78 кв.12 п.Луговской</t>
  </si>
  <si>
    <t>1.080.1.0148</t>
  </si>
  <si>
    <t>ул.Ленина д.78 кв.10 п.Луговской</t>
  </si>
  <si>
    <t>1.080.1.0147</t>
  </si>
  <si>
    <t>ул.Ленина д.78 кв.6 п.Луговской</t>
  </si>
  <si>
    <t>1.080.1.0151</t>
  </si>
  <si>
    <t>ул.Ленина д.78 кв.3 п.Луговской</t>
  </si>
  <si>
    <t>1.080.1.0150</t>
  </si>
  <si>
    <t xml:space="preserve"> 86 АБ 150987 </t>
  </si>
  <si>
    <t>Приказ ДИЗОП "О передаче ОС  имущества" №326-п от 17.06.2008,</t>
  </si>
  <si>
    <t xml:space="preserve"> 86 АБ 106232 </t>
  </si>
  <si>
    <t xml:space="preserve"> 86 АБ 106085</t>
  </si>
  <si>
    <t>Приказ ДИЗОП "О передаче ОС  имущества" №326-п от 17.06.2008</t>
  </si>
  <si>
    <t xml:space="preserve"> 86 АБ 106231</t>
  </si>
  <si>
    <t xml:space="preserve"> 86 АБ 106146 </t>
  </si>
  <si>
    <t xml:space="preserve"> 86 АБ 106239</t>
  </si>
  <si>
    <t>Договор безвозмездной передачи жилой квартиры от 16.03.2009</t>
  </si>
  <si>
    <t xml:space="preserve">86 АБ 106089 </t>
  </si>
  <si>
    <t xml:space="preserve">86 АБ 280504 </t>
  </si>
  <si>
    <t xml:space="preserve"> 86 АБ 527414 </t>
  </si>
  <si>
    <t xml:space="preserve">86 АБ 105626 </t>
  </si>
  <si>
    <t xml:space="preserve"> 86 АБ 106845</t>
  </si>
  <si>
    <t xml:space="preserve"> 86 АБ 106676 </t>
  </si>
  <si>
    <t xml:space="preserve">Приказ ДИЗОП "О передаче ОС  имущества" №326-п от 17.06.2008,  </t>
  </si>
  <si>
    <t xml:space="preserve"> 86 АБ 106230 </t>
  </si>
  <si>
    <t xml:space="preserve"> 86 АБ 106145</t>
  </si>
  <si>
    <t xml:space="preserve"> 86 АБ 106234</t>
  </si>
  <si>
    <t xml:space="preserve"> 86 АБ 106082</t>
  </si>
  <si>
    <t xml:space="preserve"> 86 АБ 106144</t>
  </si>
  <si>
    <t xml:space="preserve"> 86 АБ 106083 </t>
  </si>
  <si>
    <t xml:space="preserve"> 86 АБ 106143 </t>
  </si>
  <si>
    <t>ул.Мира д.22 кв.3 с.Троица</t>
  </si>
  <si>
    <t>1.080.1.0165</t>
  </si>
  <si>
    <t>ул.Мира д.14 кв.1 д.Белогорье</t>
  </si>
  <si>
    <t>1.080.1.0304</t>
  </si>
  <si>
    <t>ул.Мира д.10 кв.2 д.Белогорье</t>
  </si>
  <si>
    <t>1.080.1.0162</t>
  </si>
  <si>
    <t>ул.Мира д.10 кв.1 д.Белогорье</t>
  </si>
  <si>
    <t>1.080.1.0161</t>
  </si>
  <si>
    <t>ул.Лесная д.4 кв.4 п.Кирпичный</t>
  </si>
  <si>
    <t>1.080.1.0294</t>
  </si>
  <si>
    <t>ул.Лесная д.4 кв.3 п.Кирпичный</t>
  </si>
  <si>
    <t>1.080.1.0293</t>
  </si>
  <si>
    <t>ул.Лесная д.4 кв.2 п.Кирпичный</t>
  </si>
  <si>
    <t>1.080.1.0292</t>
  </si>
  <si>
    <t>ул.Лесная д.4 кв.1 п.Кирпичный</t>
  </si>
  <si>
    <t>1.080.1.0291</t>
  </si>
  <si>
    <t>ул.Лесная д.3 кв.2 п.Кирпичный</t>
  </si>
  <si>
    <t>1.080.1.0296</t>
  </si>
  <si>
    <t>ул.Лесная д.3 кв.1 п.Кирпичный</t>
  </si>
  <si>
    <t>1.080.1.0295</t>
  </si>
  <si>
    <t xml:space="preserve"> 86 АБ 879620</t>
  </si>
  <si>
    <t xml:space="preserve"> 86 АБ 879619</t>
  </si>
  <si>
    <t xml:space="preserve"> 86 АБ 910038</t>
  </si>
  <si>
    <t xml:space="preserve"> 86 АБ 879625</t>
  </si>
  <si>
    <t xml:space="preserve"> 86 АБ 879659</t>
  </si>
  <si>
    <t xml:space="preserve"> 86 АБ 879627 </t>
  </si>
  <si>
    <t xml:space="preserve"> 86 АБ 280445 </t>
  </si>
  <si>
    <t xml:space="preserve"> 86 АБ 280205 </t>
  </si>
  <si>
    <t xml:space="preserve"> 86 АБ 879321</t>
  </si>
  <si>
    <t xml:space="preserve"> 86 АБ 089092 </t>
  </si>
  <si>
    <t>ул.Озерная д.2 с.Троица</t>
  </si>
  <si>
    <t>1.080.1.0181</t>
  </si>
  <si>
    <t>ул.Обская д.10 кв.2 с.Троица</t>
  </si>
  <si>
    <t>1.080.1.0226</t>
  </si>
  <si>
    <t>ул.Обская д.1А кв.3 д.Белогорье</t>
  </si>
  <si>
    <t>1.080.1.0390</t>
  </si>
  <si>
    <t>ул.Обская д.1А кв.2 д.Белогорье</t>
  </si>
  <si>
    <t>1.080.1.0389</t>
  </si>
  <si>
    <t>ул.Обская д.1А кв.1 д.Белогорье</t>
  </si>
  <si>
    <t>1.080.1.0422</t>
  </si>
  <si>
    <t>ул.Обская д.1 кв.3 д.Белогорье</t>
  </si>
  <si>
    <t>1.080.1.0209</t>
  </si>
  <si>
    <t>ул.Обская д.1 кв.2 д.Белогорье</t>
  </si>
  <si>
    <t>1.080.1.0205</t>
  </si>
  <si>
    <t>ул.Новая д.15 кв.2 д.Белогорье</t>
  </si>
  <si>
    <t>1.080.1.0380</t>
  </si>
  <si>
    <t>ул.Новая д.9 кв.1 д.Белогорье</t>
  </si>
  <si>
    <t>1.080.1.0312</t>
  </si>
  <si>
    <t>ул.Новая д.3 кв.4 д.Белогорье</t>
  </si>
  <si>
    <t>1.080.1.0311</t>
  </si>
  <si>
    <t>ул.Новая д.3 кв.2 д.Белогорье</t>
  </si>
  <si>
    <t>1.080.1.0298</t>
  </si>
  <si>
    <t>ул.Новая д.1 кв.1 д.Белогорье</t>
  </si>
  <si>
    <t>1.080.1.0180</t>
  </si>
  <si>
    <t>ул.Молодежная д.12 кв.4 с.Троица</t>
  </si>
  <si>
    <t>1.080.1.0282</t>
  </si>
  <si>
    <t>ул.Молодежная д.12 кв.3 с.Троица</t>
  </si>
  <si>
    <t>1.080.1.0212</t>
  </si>
  <si>
    <t>ул.Молодежная д.11 кв.2 с.Троица</t>
  </si>
  <si>
    <t>1.080.1.0220</t>
  </si>
  <si>
    <t>ул.Молодежная д.9 кв.2 с.Троица</t>
  </si>
  <si>
    <t>1.080.1.0177</t>
  </si>
  <si>
    <t>ул.Молодежная д.7 кв.2 с.Троица</t>
  </si>
  <si>
    <t>1.080.1.0178</t>
  </si>
  <si>
    <t>ул.Молодежная д.5б кв.2 с.Троица</t>
  </si>
  <si>
    <t>1.080.1.0233</t>
  </si>
  <si>
    <t>Договор безвозмездной передачи имущества от 11.10.2013 №16/31/13,</t>
  </si>
  <si>
    <t>86:02:0703001:499</t>
  </si>
  <si>
    <t xml:space="preserve"> 86 АБ 719623</t>
  </si>
  <si>
    <t xml:space="preserve"> 86 АБ 088114 </t>
  </si>
  <si>
    <t xml:space="preserve"> 72 НК 936974 </t>
  </si>
  <si>
    <t xml:space="preserve"> 86 АБ 489497 </t>
  </si>
  <si>
    <t xml:space="preserve"> 86 АБ 369787</t>
  </si>
  <si>
    <t xml:space="preserve"> 86 АБ 719755</t>
  </si>
  <si>
    <t xml:space="preserve">86 АБ 533222 </t>
  </si>
  <si>
    <t xml:space="preserve"> 86 АБ 879005 </t>
  </si>
  <si>
    <t xml:space="preserve"> 86 АВ 001641 </t>
  </si>
  <si>
    <t>86:02:0705001:336</t>
  </si>
  <si>
    <t>86 АБ 500393</t>
  </si>
  <si>
    <t>Приказ ДИЗОП от 18.04.2012 № 416-п,</t>
  </si>
  <si>
    <t xml:space="preserve"> 86 АБ 527307 </t>
  </si>
  <si>
    <t xml:space="preserve">Договор безвозмездной передачи имущества  от 11.10.2013 №16/31/13, </t>
  </si>
  <si>
    <t>86:02:0703001:503</t>
  </si>
  <si>
    <t xml:space="preserve"> 86 АБ 718428 </t>
  </si>
  <si>
    <t xml:space="preserve"> 72 НК 294580 </t>
  </si>
  <si>
    <t>ул.Попова д.2 кв.3  п.Кирпичный</t>
  </si>
  <si>
    <t>1.080.1.0433</t>
  </si>
  <si>
    <t>ул.Попова д.2 кв.2  п.Кирпичный</t>
  </si>
  <si>
    <t>1.080.1.0318</t>
  </si>
  <si>
    <t>ул.Попова д.2 кв.1  п.Кирпичный</t>
  </si>
  <si>
    <t>1.080.1.0317</t>
  </si>
  <si>
    <t>ул.Пионерская д.15 кв.1 п.Луговской</t>
  </si>
  <si>
    <t>1.080.1.0284</t>
  </si>
  <si>
    <t>ул.Пионерская д.13 кв.2 п.Луговской</t>
  </si>
  <si>
    <t>1.080.1.0187</t>
  </si>
  <si>
    <t>ул.Пионерская д.8 кв.3 п.Луговской</t>
  </si>
  <si>
    <t>1.080.0.0005</t>
  </si>
  <si>
    <t>ул.Пионерская д.7 кв.2 п.Луговской</t>
  </si>
  <si>
    <t>1.080.0.0003</t>
  </si>
  <si>
    <t>ул.Пионерская д.7 кв.1 п.Луговской</t>
  </si>
  <si>
    <t>1.080.1.0211</t>
  </si>
  <si>
    <t>ул.Пионерская д.6 кв.3 п.Луговской</t>
  </si>
  <si>
    <t>1.080.0.0002</t>
  </si>
  <si>
    <t>ул.Пионерская д.6 кв.1 п.Луговской</t>
  </si>
  <si>
    <t>1.080.0.0001</t>
  </si>
  <si>
    <t>ул.Пионерская д.5 кв.2 п.Луговской</t>
  </si>
  <si>
    <t>1.080.1.0194</t>
  </si>
  <si>
    <t>ул.Пионерская д.3 кв.3 п.Луговской</t>
  </si>
  <si>
    <t>1.080.1.0192</t>
  </si>
  <si>
    <t>ул.Пионерская д.3 кв.2 п.Луговской</t>
  </si>
  <si>
    <t>1.080.1.0191</t>
  </si>
  <si>
    <t>ул.Пионерская д.3 кв.1 п.Луговской</t>
  </si>
  <si>
    <t>1.080.1.0190</t>
  </si>
  <si>
    <t>ул.Пионерская д.2 кв.4 п.Луговской</t>
  </si>
  <si>
    <t>1.080.1.0189</t>
  </si>
  <si>
    <t>ул.Первомайская д.16 кв.1 п.Кирпичный</t>
  </si>
  <si>
    <t>1.080.1.0184</t>
  </si>
  <si>
    <t>ул.Первомайская д.5 п.Кирпичный</t>
  </si>
  <si>
    <t>1.080.1.0185</t>
  </si>
  <si>
    <t xml:space="preserve">86 АБ 527285 </t>
  </si>
  <si>
    <t xml:space="preserve"> 86 АБ 107706</t>
  </si>
  <si>
    <t xml:space="preserve">86 АБ 527315 </t>
  </si>
  <si>
    <t xml:space="preserve"> 86 АБ 527316 </t>
  </si>
  <si>
    <t xml:space="preserve">Приказ Деп-та гос.собственности ХМАО-Югры "О разграничении имущества, находящегося в мун.собственности ХМРН" №1790 от 30.05.2008,  </t>
  </si>
  <si>
    <t xml:space="preserve"> 86 АБ 107623</t>
  </si>
  <si>
    <t xml:space="preserve">Приказ ДИЗОП  "О передаче ОС " №326-п от 17.06.2008, </t>
  </si>
  <si>
    <t xml:space="preserve"> 86 АБ 106673</t>
  </si>
  <si>
    <t xml:space="preserve"> 86 АБ 280977</t>
  </si>
  <si>
    <t xml:space="preserve"> 86 АБ 486841</t>
  </si>
  <si>
    <t xml:space="preserve">Договор безвозмездной передачи жилой квартиры от 21.12.2009, </t>
  </si>
  <si>
    <t xml:space="preserve">Договор безвозмездной передачи жилой квартиры с земельным участком от 28.02.2012, </t>
  </si>
  <si>
    <t xml:space="preserve"> 08.06.2012 </t>
  </si>
  <si>
    <t xml:space="preserve">72 НЛ 626265 </t>
  </si>
  <si>
    <t xml:space="preserve"> 86 АБ 106846</t>
  </si>
  <si>
    <t xml:space="preserve">Приказ ДИЗОП "О передаче ОС" №326-п от 17.06.2008, </t>
  </si>
  <si>
    <t xml:space="preserve"> 86 АБ 106826 </t>
  </si>
  <si>
    <t xml:space="preserve">Решение ХМР суда от 02.09.2013, </t>
  </si>
  <si>
    <t xml:space="preserve"> 86 АБ 719756 </t>
  </si>
  <si>
    <t xml:space="preserve"> 86 АВ 001647 </t>
  </si>
  <si>
    <t xml:space="preserve"> 86 АВ 001648</t>
  </si>
  <si>
    <t>ул.Строителей д.14Б кв.3 п.Кирпичный</t>
  </si>
  <si>
    <t>1.080.1.0418</t>
  </si>
  <si>
    <t>ул.Строителей д.14Б кв.2 п.Кирпичный</t>
  </si>
  <si>
    <t>1.080.1.0417</t>
  </si>
  <si>
    <t>ул.Строителей д.14 кв.2 п.Кирпичный</t>
  </si>
  <si>
    <t>1.080.0.0015</t>
  </si>
  <si>
    <t>ул.Строителей д.13 кв.2 п.Кирпичный</t>
  </si>
  <si>
    <t>1.080.0.0013</t>
  </si>
  <si>
    <t>ул.Строителей д.11 кв.2 п.Кирпичный</t>
  </si>
  <si>
    <t>1.080.0.0012</t>
  </si>
  <si>
    <t>ул.Строителей д.8 кв.2 п.Кирпичный</t>
  </si>
  <si>
    <t>1.080.0.0021</t>
  </si>
  <si>
    <t>ул.Строителей д.5 кв.2 п.Кирпичный</t>
  </si>
  <si>
    <t>1.080.0.0019</t>
  </si>
  <si>
    <t>ул.Строителей д.3 кв.2 п.Кирпичный</t>
  </si>
  <si>
    <t>1.080.0.0016</t>
  </si>
  <si>
    <t>ул.Строителей д.1 кв.3 п.Кирпичный</t>
  </si>
  <si>
    <t>1.080.0.0011</t>
  </si>
  <si>
    <t>ул.Строителей д.1 кв.2 п.Кирпичный</t>
  </si>
  <si>
    <t>1.080.0.0010</t>
  </si>
  <si>
    <t>ул.Строителей д.1 кв.1 п.Кирпичный</t>
  </si>
  <si>
    <t>1.080.0.0009</t>
  </si>
  <si>
    <t>ул.Строителей 13а кв.4 п.Кирпичный</t>
  </si>
  <si>
    <t>1.080.1.0373</t>
  </si>
  <si>
    <t>ул.Строителей 13а кв.2 п.Кирпичный</t>
  </si>
  <si>
    <t>1.080.1.0372</t>
  </si>
  <si>
    <t>ул.Рабочая д.3 кв.1 п.Луговской</t>
  </si>
  <si>
    <t>1.080.1.0224</t>
  </si>
  <si>
    <t>ул.Рабочая д.1 кв.4 п.Луговской</t>
  </si>
  <si>
    <t>1.080.0.0007</t>
  </si>
  <si>
    <t xml:space="preserve">Договор безвозмездной передачи имущества от 18.03.2013 №16/19/13, </t>
  </si>
  <si>
    <t xml:space="preserve"> 86 АБ 646321 </t>
  </si>
  <si>
    <t xml:space="preserve">Приказ Деп-та гос.собственности ХМАО-Югры "О разграничении имущества, находящегося в мун.собственности ХМРН" №690-п от 04.08.2016, </t>
  </si>
  <si>
    <t xml:space="preserve">Приказ Деп-та гос.собственности ХМАО-Югры "О разграничении имущества, находящегося в мун.собственности ХМРН" №690-п от 04.08.2016,  </t>
  </si>
  <si>
    <t xml:space="preserve">86 АБ 278427 </t>
  </si>
  <si>
    <t>86 АБ 527292</t>
  </si>
  <si>
    <t>30.10.201</t>
  </si>
  <si>
    <t xml:space="preserve">86 АБ 527168 </t>
  </si>
  <si>
    <t xml:space="preserve"> 86 АБ 527279</t>
  </si>
  <si>
    <t xml:space="preserve"> 86 АБ 527288 </t>
  </si>
  <si>
    <t xml:space="preserve"> 86 АБ 527280 </t>
  </si>
  <si>
    <t xml:space="preserve"> 86 АБ 527289</t>
  </si>
  <si>
    <t xml:space="preserve"> 86 АБ 527166</t>
  </si>
  <si>
    <t xml:space="preserve"> 86 АБ 527278</t>
  </si>
  <si>
    <t>ул.Центральная д.18 кв.3  с.Троица</t>
  </si>
  <si>
    <t>1.080.0.0042</t>
  </si>
  <si>
    <t>ул.Центральная д.18 кв.2  с.Троица</t>
  </si>
  <si>
    <t>1.080.1.0370</t>
  </si>
  <si>
    <t>ул.Центральная д.15 кв.2  д.Ягурьях</t>
  </si>
  <si>
    <t>1.080.0.0038</t>
  </si>
  <si>
    <t>ул.Центральная д.15 кв.1  д.Ягурьях</t>
  </si>
  <si>
    <t>1.080.0.0037</t>
  </si>
  <si>
    <t>ул.Центральная д.2 кв.4  с.Троица</t>
  </si>
  <si>
    <t>1.080.0.0044</t>
  </si>
  <si>
    <t>ул.Центральная д.2 кв.1  с.Троица</t>
  </si>
  <si>
    <t>1.080.0.0043</t>
  </si>
  <si>
    <t>ул.Центральная  д.17 с.Троица</t>
  </si>
  <si>
    <t>1.080.1.0327</t>
  </si>
  <si>
    <t>ул.Таёжная д.20 кв.1  д.Ягурьях</t>
  </si>
  <si>
    <t>1.080.0.0031</t>
  </si>
  <si>
    <t>ул.Таёжная д.18 д.Ягурьях</t>
  </si>
  <si>
    <t>1.080.0.0028</t>
  </si>
  <si>
    <t>ул.Таёжная д.17 д.Ягурьях</t>
  </si>
  <si>
    <t>1.080.0.0057</t>
  </si>
  <si>
    <t>ул.Таёжная д.10 д.Ягурьях</t>
  </si>
  <si>
    <t>1.080.0.0024</t>
  </si>
  <si>
    <t>86 АБ 527148</t>
  </si>
  <si>
    <t xml:space="preserve">86 АВ 001772 </t>
  </si>
  <si>
    <t xml:space="preserve"> 86 АБ 527275</t>
  </si>
  <si>
    <t xml:space="preserve"> 86 АВ 01700 </t>
  </si>
  <si>
    <t xml:space="preserve"> 86 АБ 278234 </t>
  </si>
  <si>
    <t xml:space="preserve"> 86 АБ 278426 </t>
  </si>
  <si>
    <t xml:space="preserve"> 86 АБ 527271 </t>
  </si>
  <si>
    <t xml:space="preserve"> 86 АБ 527272</t>
  </si>
  <si>
    <t xml:space="preserve">Договор безвозмездной передачи ж.кв с зем.участком от 12.07.2010г, </t>
  </si>
  <si>
    <t xml:space="preserve"> 86-АВ 087279  </t>
  </si>
  <si>
    <t xml:space="preserve"> 86 АБ 088014 </t>
  </si>
  <si>
    <t>ул.Школьная д.15 кв.1 п.Луговской</t>
  </si>
  <si>
    <t>1.080.1.0328</t>
  </si>
  <si>
    <t>ул.Школьная д.14 кв.2 п.Луговской</t>
  </si>
  <si>
    <t>1.080.0.0053</t>
  </si>
  <si>
    <t>ул.Школьная д.1 кв.4 д.Белогорье</t>
  </si>
  <si>
    <t>1.080.1.0243</t>
  </si>
  <si>
    <t>ул.Школьная д.1 кв.3 д.Белогорье</t>
  </si>
  <si>
    <t>1.080.1.0347</t>
  </si>
  <si>
    <t>ул.Школьная д.1 кв.2 д.Белогорье</t>
  </si>
  <si>
    <t>1.080.1.0242</t>
  </si>
  <si>
    <t>ул.Центральная д.58 кв.2 с.Троица</t>
  </si>
  <si>
    <t>1.080.1.0203</t>
  </si>
  <si>
    <t>ул.Центральная д.35 кв.4 с.Троица</t>
  </si>
  <si>
    <t>1.080.1.0288</t>
  </si>
  <si>
    <t>ул.Центральная д.35 кв.2  с.Троица</t>
  </si>
  <si>
    <t>1.080.0.0048</t>
  </si>
  <si>
    <t>ул.Центральная д.35 кв.1  с.Троица</t>
  </si>
  <si>
    <t>1.080.0.0047</t>
  </si>
  <si>
    <t>ул.Центральная д.25 кв.2 с.Троица</t>
  </si>
  <si>
    <t>1.080.1.0197</t>
  </si>
  <si>
    <t>ул.Центральная д.25 кв.1 с.Троица</t>
  </si>
  <si>
    <t>1.080.1.0196</t>
  </si>
  <si>
    <t>ул.Центральная д.21б кв.1 д.Ягурьях</t>
  </si>
  <si>
    <t>1.080.1.0239</t>
  </si>
  <si>
    <t>ул.Центральная д.21а кв.4 д.Ягурьях</t>
  </si>
  <si>
    <t>1.080.1.0238</t>
  </si>
  <si>
    <t>ул.Центральная д.21а кв.2 д.Ягурьях</t>
  </si>
  <si>
    <t>1.080.1.0236</t>
  </si>
  <si>
    <t>ул.Центральная д.21 кв.2  с.Троица</t>
  </si>
  <si>
    <t>1.080.0.0046</t>
  </si>
  <si>
    <t>ул.Центральная д.21 кв.1  с.Троица</t>
  </si>
  <si>
    <t>1.080.0.0045</t>
  </si>
  <si>
    <t xml:space="preserve">86 АБ 278235 </t>
  </si>
  <si>
    <t>86 АБ 278333</t>
  </si>
  <si>
    <t xml:space="preserve"> 86 АБ 727947</t>
  </si>
  <si>
    <t xml:space="preserve"> 86 АБ 727579 </t>
  </si>
  <si>
    <t>86:02:0901001:297</t>
  </si>
  <si>
    <t xml:space="preserve"> 86 АБ 727651</t>
  </si>
  <si>
    <t xml:space="preserve"> 86 АБ 320853 </t>
  </si>
  <si>
    <t xml:space="preserve"> 86 АБ 320854 </t>
  </si>
  <si>
    <t xml:space="preserve">86 АБ 279493 </t>
  </si>
  <si>
    <t xml:space="preserve"> 86 АБ 279495</t>
  </si>
  <si>
    <t xml:space="preserve"> 86 АБ 852992</t>
  </si>
  <si>
    <t xml:space="preserve"> 86 АБ 500394</t>
  </si>
  <si>
    <t>86:02:0705001:376</t>
  </si>
  <si>
    <t xml:space="preserve"> 86 АБ 727946</t>
  </si>
  <si>
    <t>86:02:0705001:375</t>
  </si>
  <si>
    <t xml:space="preserve"> 86 АБ 727141 </t>
  </si>
  <si>
    <t xml:space="preserve"> 86 АВ 000829 </t>
  </si>
  <si>
    <t>108.55 Непроизведенные активы (земля)</t>
  </si>
  <si>
    <t>1.085.5.0034</t>
  </si>
  <si>
    <t>1.085.5.0045</t>
  </si>
  <si>
    <t>1.085.5.0035</t>
  </si>
  <si>
    <t>1.085.5.0044</t>
  </si>
  <si>
    <t>1.085.5.0030</t>
  </si>
  <si>
    <t>1.085.5.0028</t>
  </si>
  <si>
    <t>1.085.5.0012</t>
  </si>
  <si>
    <t>1.085.5.0013</t>
  </si>
  <si>
    <t>1.085.5.0010</t>
  </si>
  <si>
    <t>1.085.5.0029</t>
  </si>
  <si>
    <t>1.085.5.0032</t>
  </si>
  <si>
    <t>1.085.5.0031</t>
  </si>
  <si>
    <t>1.085.5.0014</t>
  </si>
  <si>
    <t>1.085.5.0041</t>
  </si>
  <si>
    <t>1.085.5.0026</t>
  </si>
  <si>
    <t>1.085.5.0007</t>
  </si>
  <si>
    <t>1.085.5.0027</t>
  </si>
  <si>
    <t>1.085.5.0037</t>
  </si>
  <si>
    <t>1.085.5.0042</t>
  </si>
  <si>
    <t>1.085.5.0033</t>
  </si>
  <si>
    <t>1.085.5.0053</t>
  </si>
  <si>
    <t>1.085.5.0017</t>
  </si>
  <si>
    <t>1.085.5.0022</t>
  </si>
  <si>
    <t>1.085.5.0054</t>
  </si>
  <si>
    <t>1.085.5.0047</t>
  </si>
  <si>
    <t>1.085.5.0024</t>
  </si>
  <si>
    <t>1.085.5.0023</t>
  </si>
  <si>
    <t>1.085.5.0002</t>
  </si>
  <si>
    <t>1.085.5.0003</t>
  </si>
  <si>
    <t>1.085.5.0004</t>
  </si>
  <si>
    <t>1.085.5.0006</t>
  </si>
  <si>
    <t>1.085.5.0016</t>
  </si>
  <si>
    <t>1.085.5.0021</t>
  </si>
  <si>
    <t>1.085.5.0046</t>
  </si>
  <si>
    <t>1.085.5.0049</t>
  </si>
  <si>
    <t>1.085.5.0001</t>
  </si>
  <si>
    <t>1.085.5.0048</t>
  </si>
  <si>
    <t>1.085.5.0018</t>
  </si>
  <si>
    <t>1.085.5.0050</t>
  </si>
  <si>
    <t xml:space="preserve">86 АБ 088430 </t>
  </si>
  <si>
    <t xml:space="preserve"> 86 АБ 088754 </t>
  </si>
  <si>
    <t xml:space="preserve"> 86 АБ 088276 </t>
  </si>
  <si>
    <t xml:space="preserve"> 86 АБ 088764</t>
  </si>
  <si>
    <t xml:space="preserve"> 86 АБ 088379</t>
  </si>
  <si>
    <t>86 АБ 088381</t>
  </si>
  <si>
    <t xml:space="preserve"> 86 АБ 088433</t>
  </si>
  <si>
    <t xml:space="preserve"> 86 АБ 088763</t>
  </si>
  <si>
    <t xml:space="preserve"> 86 АБ 088762</t>
  </si>
  <si>
    <t xml:space="preserve"> 86 АБ 420288</t>
  </si>
  <si>
    <t xml:space="preserve"> 86 АБ 088278</t>
  </si>
  <si>
    <t xml:space="preserve"> 86 АБ 088756</t>
  </si>
  <si>
    <t>86 АБ 685670</t>
  </si>
  <si>
    <t xml:space="preserve"> 86 АБ 088766 </t>
  </si>
  <si>
    <t xml:space="preserve"> 86 АБ 088767 </t>
  </si>
  <si>
    <t xml:space="preserve"> 86 АБ 088765</t>
  </si>
  <si>
    <t xml:space="preserve"> 86 АБ 088817 </t>
  </si>
  <si>
    <t xml:space="preserve"> 86 АБ 088771</t>
  </si>
  <si>
    <t xml:space="preserve"> 86 АБ 088760</t>
  </si>
  <si>
    <t xml:space="preserve">86 АБ 088755 </t>
  </si>
  <si>
    <t xml:space="preserve"> 86 АБ 088768 </t>
  </si>
  <si>
    <t xml:space="preserve">86 АБ 088761 </t>
  </si>
  <si>
    <t xml:space="preserve"> 72 НК 547110</t>
  </si>
  <si>
    <t>электрические сети 0,4-10 кВ п.Кирпичный</t>
  </si>
  <si>
    <t>1.080.1.0195</t>
  </si>
  <si>
    <t>1.080.1.0434</t>
  </si>
  <si>
    <t>1.080.1.0435</t>
  </si>
  <si>
    <t>1.080.1.0022</t>
  </si>
  <si>
    <t>1.080.1.0019</t>
  </si>
  <si>
    <t xml:space="preserve"> 86 АБ 278157</t>
  </si>
  <si>
    <t xml:space="preserve"> 86 АБ 151446</t>
  </si>
  <si>
    <t xml:space="preserve">86 АБ 187820 </t>
  </si>
  <si>
    <t>1.080.2.0064</t>
  </si>
  <si>
    <t>машина тестомесильная ТММ 140 с дежой п.Кирпичный</t>
  </si>
  <si>
    <t>1.080.2.0026</t>
  </si>
  <si>
    <t>дизель-ген.установка UASONIA VO 0325WD  п.Кирпичный</t>
  </si>
  <si>
    <t>1.080.2.0005</t>
  </si>
  <si>
    <t>1.080.2.0004</t>
  </si>
  <si>
    <t>1.080.2.0003</t>
  </si>
  <si>
    <t>строительство пожарных водоемов для учреждений социальной сферы в населенном пункте д.Белогорье ул.Мира (30м3)</t>
  </si>
  <si>
    <t>1.080.0.0060</t>
  </si>
  <si>
    <t>1.080.0.0059</t>
  </si>
  <si>
    <t>1.080.1.0025</t>
  </si>
  <si>
    <t>1.080.1.0419</t>
  </si>
  <si>
    <t>1.085.1.0063</t>
  </si>
  <si>
    <t>15.07.2010</t>
  </si>
  <si>
    <t>86 АБ 590040</t>
  </si>
  <si>
    <t>трактор ДТ-75 ДЕРС (с бульдозерным отвалом) д.Белогорье</t>
  </si>
  <si>
    <t>1.085.2.0005</t>
  </si>
  <si>
    <t>прицеп вагон-дом передвижной модели "Кедр" - К.16.1.1</t>
  </si>
  <si>
    <t>1.080.2.0299</t>
  </si>
  <si>
    <t>мотопомпа Субару (МОУ ООШ) д.Белогорье</t>
  </si>
  <si>
    <t>1.080.2.0033</t>
  </si>
  <si>
    <t>1.080.1.0392</t>
  </si>
  <si>
    <t>1.080.1.0393</t>
  </si>
  <si>
    <t>1.080.1.0026</t>
  </si>
  <si>
    <t>1.080.1.0421</t>
  </si>
  <si>
    <t>86 АБ 590041</t>
  </si>
  <si>
    <t>трактор МТЗ-92 д.Ягурьях</t>
  </si>
  <si>
    <t>1.085.2.0003</t>
  </si>
  <si>
    <t>телега тракторная д.Ягурьях</t>
  </si>
  <si>
    <t>1.080.2.0060</t>
  </si>
  <si>
    <t>1.085.2.0002</t>
  </si>
  <si>
    <t>плуг лесной ПКЛ-70Д</t>
  </si>
  <si>
    <t>1.080.2.0260</t>
  </si>
  <si>
    <t>навесное оборудование для трактора МТЗ-92 (д.Ягурьях)</t>
  </si>
  <si>
    <t>1.085.2.0001</t>
  </si>
  <si>
    <t>ранцевый лесной огнетушитель</t>
  </si>
  <si>
    <t>1.080.2.0288</t>
  </si>
  <si>
    <t>1.080.2.0287</t>
  </si>
  <si>
    <t>1.080.2.0286</t>
  </si>
  <si>
    <t>1.080.2.0285</t>
  </si>
  <si>
    <t>1.080.2.0284</t>
  </si>
  <si>
    <t xml:space="preserve">пояс пожарный </t>
  </si>
  <si>
    <t>1.080.2.0293</t>
  </si>
  <si>
    <t>1.080.2.0292</t>
  </si>
  <si>
    <t>1.080.2.0291</t>
  </si>
  <si>
    <t>1.080.2.0290</t>
  </si>
  <si>
    <t>1.080.2.0289</t>
  </si>
  <si>
    <t>мотопомпа Субару (МОУ ООШ) д.Ягурьях(п.Луговской)</t>
  </si>
  <si>
    <t>1.080.2.0032</t>
  </si>
  <si>
    <t>подъездная дорога к ПС 110кВ п.Луговской</t>
  </si>
  <si>
    <t>1.085.1.0011</t>
  </si>
  <si>
    <t>линия электропередач ВЛ-0,4-10 п.Луговской</t>
  </si>
  <si>
    <t>1.085.1.0010</t>
  </si>
  <si>
    <t>1.080.1.0023</t>
  </si>
  <si>
    <t>1.080.1.0217</t>
  </si>
  <si>
    <t>здание цеха деревообработки №Л00021п.Луговской</t>
  </si>
  <si>
    <t>1.080.1.0007</t>
  </si>
  <si>
    <t>здание склада топлива механизированный п.Луговской 18*24 м</t>
  </si>
  <si>
    <t>1.080.1.0219</t>
  </si>
  <si>
    <t>1.080.1.0021</t>
  </si>
  <si>
    <t>1.080.1.0020</t>
  </si>
  <si>
    <t>здание кузни №Л00008 п.Луговской</t>
  </si>
  <si>
    <t>1.080.1.0371</t>
  </si>
  <si>
    <t>1.080.1.0018</t>
  </si>
  <si>
    <t>1.080.1.0017</t>
  </si>
  <si>
    <t>1.085.1.0007</t>
  </si>
  <si>
    <t>1.080.1.0016</t>
  </si>
  <si>
    <t>1.080.1.0013</t>
  </si>
  <si>
    <t>здание библиотеки, сберкассы, музыкальной школы п.Луговской ул.Гагарина д.37</t>
  </si>
  <si>
    <t>1.080.1.0216</t>
  </si>
  <si>
    <t>1.080.1.0010</t>
  </si>
  <si>
    <t>1.080.1.0009</t>
  </si>
  <si>
    <t>1.085.1.0060</t>
  </si>
  <si>
    <t xml:space="preserve"> 86 АБ 186658 </t>
  </si>
  <si>
    <t xml:space="preserve"> 86 АБ 533144 </t>
  </si>
  <si>
    <t xml:space="preserve"> 86 АБ 187716 </t>
  </si>
  <si>
    <t xml:space="preserve"> 86 АБ 001367</t>
  </si>
  <si>
    <t xml:space="preserve"> 86 АБ 151447 </t>
  </si>
  <si>
    <t xml:space="preserve"> 86 АВ 000604 </t>
  </si>
  <si>
    <t xml:space="preserve">86 АБ 990316 </t>
  </si>
  <si>
    <t xml:space="preserve"> 86 АВ 000603 </t>
  </si>
  <si>
    <t xml:space="preserve"> 86 АБ 151407 </t>
  </si>
  <si>
    <t xml:space="preserve"> 86 АБ 533292 </t>
  </si>
  <si>
    <t xml:space="preserve"> 86 АВ 001369 </t>
  </si>
  <si>
    <t xml:space="preserve"> 86 АБ 990319</t>
  </si>
  <si>
    <t xml:space="preserve">86 АБ 213632 </t>
  </si>
  <si>
    <t>фаршемес ИПК-019 (цех)</t>
  </si>
  <si>
    <t>1.080.2.0071</t>
  </si>
  <si>
    <t>трансформатор.подстанция КТП-ТВ-160/10/04 кВа п.Луговской</t>
  </si>
  <si>
    <t>1.080.2.0067</t>
  </si>
  <si>
    <t>трансформатор ТМ 160/10/04 С РЛНД-10/400 п.Луговской</t>
  </si>
  <si>
    <t>1.080.2.0066</t>
  </si>
  <si>
    <t>тестомес ТММ 03 (цех)</t>
  </si>
  <si>
    <t>1.080.2.0061</t>
  </si>
  <si>
    <t>стол производственный разделочный СРНП-2/1500/600 (цех)</t>
  </si>
  <si>
    <t>1.080.2.0056</t>
  </si>
  <si>
    <t>пила ленточная настольная ПЛН-225 (цех)</t>
  </si>
  <si>
    <t>1.080.2.0049</t>
  </si>
  <si>
    <t>печь пекарская ХПЭ-500 п.Луговской</t>
  </si>
  <si>
    <t>1.080.2.0048</t>
  </si>
  <si>
    <t>пельменный аппарат НПА-1М (цех)</t>
  </si>
  <si>
    <t>1.080.2.0047</t>
  </si>
  <si>
    <t>мясорубка ТМ-32 (цех)</t>
  </si>
  <si>
    <t>1.080.2.0035</t>
  </si>
  <si>
    <t>мясорубка (волчек) (цех)</t>
  </si>
  <si>
    <t>1.080.2.0036</t>
  </si>
  <si>
    <t>мукопросеиватель вибрационный "Каскад" (цех)</t>
  </si>
  <si>
    <t>1.080.2.0034</t>
  </si>
  <si>
    <t>лодка "Казанка" 5М4</t>
  </si>
  <si>
    <t>1.080.2.0025</t>
  </si>
  <si>
    <t>камера термодымовая КТОМИ-100 (цех)</t>
  </si>
  <si>
    <t>1.080.2.0011</t>
  </si>
  <si>
    <t>ваккумный упаковщик (цех)</t>
  </si>
  <si>
    <t>1.085.2.0027</t>
  </si>
  <si>
    <t>автомат котлетный АК-2М-40 (цех)</t>
  </si>
  <si>
    <t>1.085.2.0026</t>
  </si>
  <si>
    <t>1.080.2.0295</t>
  </si>
  <si>
    <t>компьютер CPU Intel Cjre 2 Duo E7500 OEM</t>
  </si>
  <si>
    <t>1.080.2.0296</t>
  </si>
  <si>
    <t>переул. Строителей д.9 кв.6 п.Кирпичный</t>
  </si>
  <si>
    <t>1.080.1.0388</t>
  </si>
  <si>
    <t>ХМРН с. Троица</t>
  </si>
  <si>
    <t>ХМРН, п. Кирпичный</t>
  </si>
  <si>
    <t>ХМРН, д. Белогорье</t>
  </si>
  <si>
    <t>ХМРН, д. Ягурьях</t>
  </si>
  <si>
    <t>ХМРН, п.Луговской</t>
  </si>
  <si>
    <t>86:02:0704002:145</t>
  </si>
  <si>
    <t>земельный участок</t>
  </si>
  <si>
    <t>86:02:0501001:69</t>
  </si>
  <si>
    <t xml:space="preserve">земельный участок  </t>
  </si>
  <si>
    <t xml:space="preserve">ХМРН, п. Кирпичный ул.Дурицына д.21 </t>
  </si>
  <si>
    <t xml:space="preserve">ХМРН, п.Луговской ул.Гагарина д.47 кв.1 </t>
  </si>
  <si>
    <t xml:space="preserve">ХМРН, п. Кирпичный ул.Дурицына </t>
  </si>
  <si>
    <t>86:02:0501001:160</t>
  </si>
  <si>
    <t>86:02:0501001:15</t>
  </si>
  <si>
    <t xml:space="preserve">земельный участок </t>
  </si>
  <si>
    <t>ХМРН, п. Кирпичный   ул.Дурицына д.39 кв.2</t>
  </si>
  <si>
    <t>86:02:0501001:10</t>
  </si>
  <si>
    <t xml:space="preserve">ХМРН, п. Кирпичный ул.Комсомольская д.1 кв.1 </t>
  </si>
  <si>
    <t xml:space="preserve"> 86:02:05001:206</t>
  </si>
  <si>
    <t>ХМРН, п. Кирпичный ул.Комсомольская д.3</t>
  </si>
  <si>
    <t xml:space="preserve">ХМРН, п. Кирпичный ул.Комсомольская д.5 кв.2 </t>
  </si>
  <si>
    <t>86:02:0501001:200</t>
  </si>
  <si>
    <t xml:space="preserve">ХМРН, п. Кирпичный ул.Комсомольская д.5 </t>
  </si>
  <si>
    <t>ХМРН, п. Кирпичный ул.Комсомольская д.9</t>
  </si>
  <si>
    <t xml:space="preserve">ХМРН, п. Кирпичный ул.Комсомольская д.10 </t>
  </si>
  <si>
    <t xml:space="preserve">ХМРН, п. Кирпичный ул.Комсомольская д.13 </t>
  </si>
  <si>
    <t>86:02:0501001:94</t>
  </si>
  <si>
    <t xml:space="preserve">ХМРН, п. Кирпичный ул.Комсомольская д.14 а </t>
  </si>
  <si>
    <t xml:space="preserve"> 86:02:0501001:1217</t>
  </si>
  <si>
    <t xml:space="preserve">ХМРН, п. Кирпичный ул.Комсомольская д.14 </t>
  </si>
  <si>
    <t xml:space="preserve">ХМРН, п. Кирпичный ул.Комсомольская д.18 </t>
  </si>
  <si>
    <t>ХМРН, п. Кирпичный ул.Комсомольская д.19 а</t>
  </si>
  <si>
    <t>86:02:0501001:1216</t>
  </si>
  <si>
    <t>ХМРН, п.Луговской ул.Комсомольская д.ЗА</t>
  </si>
  <si>
    <t xml:space="preserve">ХМРН, п.Луговской  ул.Ленина д.21а </t>
  </si>
  <si>
    <t>86:02:0704002:752</t>
  </si>
  <si>
    <t xml:space="preserve">ХМРН с. Троица ул.Озёрная д.2 </t>
  </si>
  <si>
    <t xml:space="preserve">ХМРН, п. Кирпичный ул.Первомайская д.6 </t>
  </si>
  <si>
    <t>ХМРН, п. Кирпичный ул.Первомайская д.11</t>
  </si>
  <si>
    <t xml:space="preserve">ХМРН, п.Луговской ул.Рабочая д.3 кв.1 </t>
  </si>
  <si>
    <t>86:02:0704001:449</t>
  </si>
  <si>
    <t xml:space="preserve">ХМРН, п. Кирпичный ул.Строителей д.1 </t>
  </si>
  <si>
    <t>ХМРН, п. Кирпичный ул.Строителей д.3</t>
  </si>
  <si>
    <t xml:space="preserve">земельный участок   </t>
  </si>
  <si>
    <t>ХМРН, п. Кирпичный ул.Строителей д.8</t>
  </si>
  <si>
    <t>ХМРН, п. Кирпичный ул.Строителей д.13</t>
  </si>
  <si>
    <t xml:space="preserve">земельный участок     </t>
  </si>
  <si>
    <t>ХМРН, п. Кирпичный  ул.Строителей д.14</t>
  </si>
  <si>
    <t>ХМРН с. Троица ул.Центральная д.18 кв.2</t>
  </si>
  <si>
    <t>86:02:0703001:167</t>
  </si>
  <si>
    <t>ХМРН с. Троица  ул.Центральная д.18 кв.3</t>
  </si>
  <si>
    <t>ХМРН, п.Луговской ул.Школьная д.7 кв.2</t>
  </si>
  <si>
    <t>86:02:0704002:496</t>
  </si>
  <si>
    <t>ХМРН, п.Луговской ул.Школьная д.14 кв.2</t>
  </si>
  <si>
    <t xml:space="preserve">Приказ ДИЗОП от 15.12.2009 №832-п " О передаче зем.участков" </t>
  </si>
  <si>
    <t>Распоряжение "О безвозмездной передаче недвиж.имущества" от 30.03.2006 №290-р</t>
  </si>
  <si>
    <t>ХМРН, п. Кирпичный ул.Дурицына д.38/1</t>
  </si>
  <si>
    <t>86-86/004-86/ 001/ 005/2016-999/2</t>
  </si>
  <si>
    <t>86-86/001-86/ 001/012/2016-4/2</t>
  </si>
  <si>
    <t>86-86/001-86/ 001/012/2016-2/2</t>
  </si>
  <si>
    <t xml:space="preserve">ХМРН, п. Кирпичный ул.Комсомольская д.1/2 </t>
  </si>
  <si>
    <t>86:02:0501001:0205</t>
  </si>
  <si>
    <t>86:02:0501001:0202</t>
  </si>
  <si>
    <t>72 НЛ 431023</t>
  </si>
  <si>
    <t>Договор безвозмездной передачи жилой квартиры и земельного участка от 01.09.2009</t>
  </si>
  <si>
    <t>86:02:0501001:0199</t>
  </si>
  <si>
    <t>86:02:0501001:0122</t>
  </si>
  <si>
    <t>86:02:0501001:0126</t>
  </si>
  <si>
    <t>86:02:0501001:0142</t>
  </si>
  <si>
    <t xml:space="preserve">ХМРН, п. Кирпичный ул.Комсомольская д.11/1 </t>
  </si>
  <si>
    <t>86:02:0501001:0090</t>
  </si>
  <si>
    <t xml:space="preserve">ХМРН, п. Кирпичный ул.Комсомольская д.12/3 </t>
  </si>
  <si>
    <t xml:space="preserve">86 АБ 088380 </t>
  </si>
  <si>
    <t>86-86/001-86/ 001/012/2016-5/2</t>
  </si>
  <si>
    <t>86:02:0501001:0098</t>
  </si>
  <si>
    <t xml:space="preserve"> 86 АБ 088279</t>
  </si>
  <si>
    <t xml:space="preserve"> 86:02:0501001:0047</t>
  </si>
  <si>
    <t>86:02:0501001:0342</t>
  </si>
  <si>
    <t>86:02:0501001:0337</t>
  </si>
  <si>
    <t>86:02:0501001:0371</t>
  </si>
  <si>
    <t xml:space="preserve">ХМРН, п. Кирпичный  ул.Первомайская д.16/1 </t>
  </si>
  <si>
    <t xml:space="preserve"> 86 АБ 088818</t>
  </si>
  <si>
    <t>86:02:0501001:0283</t>
  </si>
  <si>
    <t>86:02:0501001:0281</t>
  </si>
  <si>
    <t>86:02:0501001:0279</t>
  </si>
  <si>
    <t xml:space="preserve">ХМРН, п. Кирпичный ул.Строителей д.5/2 </t>
  </si>
  <si>
    <t>86:02:0501001:0324</t>
  </si>
  <si>
    <t>ХМРН, п. Кирпичный ул.Строителей д.8/2</t>
  </si>
  <si>
    <t>86:02:0501001:0181</t>
  </si>
  <si>
    <t>86:02:0501001:0275</t>
  </si>
  <si>
    <t xml:space="preserve">ХМРН, п. Кирпичный ул.Строителей д.9/2 </t>
  </si>
  <si>
    <t>86:02:0501001:0183</t>
  </si>
  <si>
    <t xml:space="preserve">ХМРН, п. Кирпичный ул.Строителей д.11/2 </t>
  </si>
  <si>
    <t>86:02:0501001:0186</t>
  </si>
  <si>
    <t>86:02:0501001:0188</t>
  </si>
  <si>
    <t>86:02:0703001:0166</t>
  </si>
  <si>
    <t>86 АБ 088013</t>
  </si>
  <si>
    <t>Договор безвозмездной передачи жилой квартиры с земельным участком от 12.07.2010</t>
  </si>
  <si>
    <t>86:02:0703001:0113</t>
  </si>
  <si>
    <t xml:space="preserve"> 72 НК 294579</t>
  </si>
  <si>
    <t>Договор купли-продажи жил.дома и зем.участка №1 от 29.06.2006</t>
  </si>
  <si>
    <t>86:02:0704002:0637</t>
  </si>
  <si>
    <t>МК по купле продажи квартиры и зем.участка №7/26/06 от 08.12.2006</t>
  </si>
  <si>
    <t>86-86/001-86/ 001/028/2015-573/2</t>
  </si>
  <si>
    <t>Договор мены от 20.10.2015</t>
  </si>
  <si>
    <t>Договор безвозмездной передачи имущества от 26.07.2013 №16</t>
  </si>
  <si>
    <t>86-86/001-86/ 001/010/2016-532/2</t>
  </si>
  <si>
    <t>договор безвозмездной передачи жилой квартирыи зем.участка от 09.03.2016</t>
  </si>
  <si>
    <t>86-86/001-86/ 001/008/2016-32/2</t>
  </si>
  <si>
    <t>Распоряжение депортамента по управлению гос. Имуществом ХМАО-Югры "Об  изъятии имущества из оперативного управления" от 15.12.2015 №13-Р-2973</t>
  </si>
  <si>
    <t>86-86/001-86/ 001/005/2016-998/2</t>
  </si>
  <si>
    <t>86:02:0704002:0420</t>
  </si>
  <si>
    <t>Договор безвозмездной передачи жил.дома с зем.участком от 20.02.2009</t>
  </si>
  <si>
    <t>86:02:0501001:1217-86/041/ 2018-2</t>
  </si>
  <si>
    <t>договор безвозмездной передачи имущества №16/28/17 от 11.12.2017</t>
  </si>
  <si>
    <t>86:02:0501001:1216-86/041/ 2018-1</t>
  </si>
  <si>
    <t>86-86-01/037/ 2012-368</t>
  </si>
  <si>
    <t>86-86-01/036/ 2012-405</t>
  </si>
  <si>
    <t xml:space="preserve"> 86 АБ 990318 </t>
  </si>
  <si>
    <t xml:space="preserve"> 86 АБ 106233 </t>
  </si>
  <si>
    <t xml:space="preserve"> 86 АБ 527314</t>
  </si>
  <si>
    <t xml:space="preserve">86 АБ 105627 </t>
  </si>
  <si>
    <t xml:space="preserve"> 86 АВ 053076</t>
  </si>
  <si>
    <t xml:space="preserve">ХМРН, д. Ягурьях ул.Центральная д.14 </t>
  </si>
  <si>
    <t>пожарный водоём (район школы)</t>
  </si>
  <si>
    <t>86-86-01/001/2011-046</t>
  </si>
  <si>
    <t>86-86-01/023/2010-492</t>
  </si>
  <si>
    <t>Приказ ДИЗОП "О передаче электр.сетей" от 22.06.2009 №404-п,  18630 метров</t>
  </si>
  <si>
    <t>Договор безвозмездной передачи имущества от 31.12.2014</t>
  </si>
  <si>
    <t>ХМРН, д. Белогорье ул.Новая д.13а</t>
  </si>
  <si>
    <t>Приказ ДИЗОП "О передаче пожарных водоемов" от 04.02.2011 №95-п, производительная мощность 2*27, объем 54 м3</t>
  </si>
  <si>
    <t>86-86-01/001/2011-043</t>
  </si>
  <si>
    <t>ХМРН с. Троица ул.Центральная д.26</t>
  </si>
  <si>
    <t xml:space="preserve">здание административное помещение (нежилое) </t>
  </si>
  <si>
    <t>Договор безвозмездной передачи имущества от 30.10.2012 №16/49/12</t>
  </si>
  <si>
    <t>Приказ ДИЗОП "О передаче ОС" от 07.05.2009 №289-п, 21100 метров</t>
  </si>
  <si>
    <t xml:space="preserve">ХМРН, п.Луговской ул.Заводская 2а </t>
  </si>
  <si>
    <t xml:space="preserve">здание административное </t>
  </si>
  <si>
    <t>Приказ ДИЗОП "О передаче ОС" от 07.05.2009 №289-п</t>
  </si>
  <si>
    <t xml:space="preserve">ХМРН, п.Луговской ул.Гагарина 19 </t>
  </si>
  <si>
    <t xml:space="preserve">здание администрации поселения </t>
  </si>
  <si>
    <t>Приказ ДИЗОП "О передаче ОС" от 17.06.2008 №326-п</t>
  </si>
  <si>
    <t>ХМРН, п.Луговской ул.Комсомольская 3Б</t>
  </si>
  <si>
    <t xml:space="preserve">здание общежития  </t>
  </si>
  <si>
    <t>86-86-01/023/ 2010-290</t>
  </si>
  <si>
    <t>86-86-01/011/ 2007-276</t>
  </si>
  <si>
    <t>86-86-01/020/ 2010-836</t>
  </si>
  <si>
    <t>Приказ ДИЗОП "О передаче ОС" от 01.06.2009 №340-п</t>
  </si>
  <si>
    <t xml:space="preserve">здание конторы </t>
  </si>
  <si>
    <t xml:space="preserve">ХМРН, п.Луговской ул.Комсомольская д.3 </t>
  </si>
  <si>
    <t>86-72-13/004/ 2009-112</t>
  </si>
  <si>
    <t xml:space="preserve">здание нежилое склада "Ангар" </t>
  </si>
  <si>
    <t xml:space="preserve">ХМРН с. Троица ул.Центральная 11а </t>
  </si>
  <si>
    <t>86-86-01/005 /2011-757</t>
  </si>
  <si>
    <t>86-86-01/011 /2010-788</t>
  </si>
  <si>
    <t>Решение ХМР суда ХМАО-Югры от 22.08.2011</t>
  </si>
  <si>
    <t>здание нежилое склада "Арочник"</t>
  </si>
  <si>
    <t xml:space="preserve">ХМРН с. Троица ул. Обская 1а </t>
  </si>
  <si>
    <t>86-86-01/015 /2010-306</t>
  </si>
  <si>
    <t xml:space="preserve">здание склада администрации </t>
  </si>
  <si>
    <t>86-86-01/037/ 2012-366</t>
  </si>
  <si>
    <t>Приказ Департамента гос.собственности ХМАО-Югры  "О разграничении имущества" от 30.05.2008 №1790</t>
  </si>
  <si>
    <t>здание нежилое</t>
  </si>
  <si>
    <t xml:space="preserve">ХМРН, п. Кирпичный  ул.Комсомольская д.8 </t>
  </si>
  <si>
    <t>86:02:0000000:0000:71:129:000:000000160</t>
  </si>
  <si>
    <t>Приказ Департамента гос.собственностииХМАО-Югры "О разграничении имущества" от 30.05.2008 №1790</t>
  </si>
  <si>
    <t xml:space="preserve">здание столярной мастерской </t>
  </si>
  <si>
    <t>86-72-13/004/ 2009-923</t>
  </si>
  <si>
    <t>86-86-01/023/ 2010-291</t>
  </si>
  <si>
    <t xml:space="preserve">здание котельной </t>
  </si>
  <si>
    <t xml:space="preserve">ХМРН с. Троица ул.Молодежная б/н </t>
  </si>
  <si>
    <t>Приказ ДИЗОП " О передаче ОС" от 01.06.2009 №340-п</t>
  </si>
  <si>
    <t>86:02:0703001:340</t>
  </si>
  <si>
    <t>ХМРН с. Троица ул.Центральная</t>
  </si>
  <si>
    <t>ХМРН с. Троица  ул.Молодежная б/н</t>
  </si>
  <si>
    <t xml:space="preserve">здание гаража </t>
  </si>
  <si>
    <t>86:02:0703001:341</t>
  </si>
  <si>
    <t>ХМРН, п.Луговской ул.Комсомольская</t>
  </si>
  <si>
    <t xml:space="preserve">здание котельной  </t>
  </si>
  <si>
    <t>86-86-01/003/ 2011-388</t>
  </si>
  <si>
    <t>86:02:0704001:719</t>
  </si>
  <si>
    <t>86:02:0704001:848</t>
  </si>
  <si>
    <t>ХМРН, п.Луговской, промзона</t>
  </si>
  <si>
    <t xml:space="preserve">здание цеха оцилиндровки </t>
  </si>
  <si>
    <t xml:space="preserve">ХМРН, п.Луговской ул.Школьная </t>
  </si>
  <si>
    <t>86:02:0704001:752</t>
  </si>
  <si>
    <t xml:space="preserve">здание котельной(центральная) </t>
  </si>
  <si>
    <t>86:02:0704001:869</t>
  </si>
  <si>
    <t>ХМРН, п.Луговской ул.Гагарина</t>
  </si>
  <si>
    <t xml:space="preserve">здание водонапорной башни  </t>
  </si>
  <si>
    <t>86:12:0102003:813</t>
  </si>
  <si>
    <t xml:space="preserve">водонапорная башня </t>
  </si>
  <si>
    <t>86:02:0704001:786</t>
  </si>
  <si>
    <t xml:space="preserve">ХМРН, п.Луговской    ул. Ленина </t>
  </si>
  <si>
    <t xml:space="preserve"> 86 АБ 001368</t>
  </si>
  <si>
    <t xml:space="preserve">здание цеха лесопиления №-л 00006 </t>
  </si>
  <si>
    <t>86:02:0704001:708</t>
  </si>
  <si>
    <t>ХМРН, д. Ягурьях  ул.Таёжная район д.27</t>
  </si>
  <si>
    <t>86:02:0901001:331-86/001/ 2017-2</t>
  </si>
  <si>
    <t>Приказ ДИЗОП "О передаче пожарных водоемов" от 04.02.2011 №95-п, объем 2*27 м.куб</t>
  </si>
  <si>
    <t>договор безвозмездной передачи имущества от 17.01.2017 №16/03/17 , 30 куб.</t>
  </si>
  <si>
    <t xml:space="preserve">пожарный водоем </t>
  </si>
  <si>
    <t>ХМРН, д. Ягурьях, ул.Центральная район д.28</t>
  </si>
  <si>
    <t>86:02:0901001:332-86/001/ 2017-2</t>
  </si>
  <si>
    <t xml:space="preserve">здание котельной, гаража, электростанции </t>
  </si>
  <si>
    <t>86:02:0901001:331</t>
  </si>
  <si>
    <t>86:02:0901001:332</t>
  </si>
  <si>
    <t>86:02:0901001:196</t>
  </si>
  <si>
    <t>пожарный водоем</t>
  </si>
  <si>
    <t>86:02:0901001:196-86/001/ 2017-2</t>
  </si>
  <si>
    <t>договор безвозмездной передачи имущества от 24.05.2017 №16/16/17</t>
  </si>
  <si>
    <t xml:space="preserve">ХМРН, п. Кирпичный ул.Комсомольская д.19а </t>
  </si>
  <si>
    <t>86:02:0501001:1225</t>
  </si>
  <si>
    <t xml:space="preserve">Договор безвозмездной передачи имущества от №16/28/17 11.12.2017,  (30м3) </t>
  </si>
  <si>
    <t>ХМРН, п. Кирпичный ул.Комсомольская д.14а</t>
  </si>
  <si>
    <t>86:02:0501001:1226</t>
  </si>
  <si>
    <t>86:02:0501001:1225-86/041/ 2018-1</t>
  </si>
  <si>
    <t>86:02:0501001:1226-86/041/ 2018-2</t>
  </si>
  <si>
    <t>86:02:0703001:759</t>
  </si>
  <si>
    <t>пожарный водоем  с.Троица  (30м3)</t>
  </si>
  <si>
    <t>ХМРН с. Троица ул.Центральная д.58а</t>
  </si>
  <si>
    <t>86:02:0703001:759-86/041/ 2019-2</t>
  </si>
  <si>
    <t>Договор безвозмездной передачи имущества №7/22/18 от 21.12.2018</t>
  </si>
  <si>
    <t xml:space="preserve">балок ГСМ </t>
  </si>
  <si>
    <t>балок для причала</t>
  </si>
  <si>
    <t>балок рубленный (около бани)</t>
  </si>
  <si>
    <t xml:space="preserve">электролиния ВЛИ-0,4 кВ (до причала </t>
  </si>
  <si>
    <t xml:space="preserve">01.06.2010, (500 п/м) </t>
  </si>
  <si>
    <t xml:space="preserve">балок стояночный </t>
  </si>
  <si>
    <t xml:space="preserve">здание котельной (угольной) </t>
  </si>
  <si>
    <t>Приказ ДИЗОП "О передаче ОС" от 07.05.2009 №289-п, контейнер Север М2, Модель двигателя TAD 942 QE. № двигателя 7009161288, модель генератора MJB 315SB4A. № генератора MV 20549, тип пульта (щита) управления PSC- M, Мощность 325 (260) кВа)кВт)</t>
  </si>
  <si>
    <t>Приказ ДИЗОП "О передаче ОС" от 07.05.2009 №289-п, контейнер Север М2, Модель двигателя TAD 942 QE. № двигателя 7009156702, модель генератора MJB 315SB4A. № генератора MV 17433, тип пульта (щита) управления PSC- M, Мощность 325 (260) кВа)кВт)</t>
  </si>
  <si>
    <t>трансформатор ТМ 1000/10/04 с РЛНД-10/400 п.Кирпичный</t>
  </si>
  <si>
    <t>Приказ ДИЗОП  " О передаче трансформаторной подстанции в комплекте" от 29.10.2009 №694-п</t>
  </si>
  <si>
    <t>Приказ ДИЗОП  " О передаче оборудования хлебопекарного " от 27.11.2009 №792-п</t>
  </si>
  <si>
    <t>Приказ ДИЗОП "О передаче трансформаторной подстанции" от 17.08.2009 № 507-п</t>
  </si>
  <si>
    <t>Приказ ДИЗОП " о передаче пожарных мотопомп" от 08.04.2010 № 213-п</t>
  </si>
  <si>
    <t>Договор выполнения работ от 15.07.2010 г</t>
  </si>
  <si>
    <t>Приказ ДИЗОП "О передаче технологического оборудования" от 23.12.2010 №946-п</t>
  </si>
  <si>
    <t>Приказ ДИЗОП "О передаче ОС" от 21.02.2006 №38-п, бортовой № РТИ 29-92</t>
  </si>
  <si>
    <t>Приказ ДИЗОП "О передаче движимого имущества" от 19.04.2011 №310-п</t>
  </si>
  <si>
    <t>Приказ ДИЗОП "О передаче имущества" от 10.06.2011 №494-п</t>
  </si>
  <si>
    <t>Приказ ДИЗОП "О безвозмездной передаче имущества" от 30.04.2013 №433-п</t>
  </si>
  <si>
    <t>Приказ ДИЗОП "О безвозмездной передаче имущества" от 10.07.2014 №648-п</t>
  </si>
  <si>
    <t>Договор приобретения 14.05.2010</t>
  </si>
  <si>
    <t>86-86-01/025/ 2012-432</t>
  </si>
  <si>
    <t>86:02:0501001:1337</t>
  </si>
  <si>
    <t>86:02:0501001:1337-86/001/ 2017-2</t>
  </si>
  <si>
    <t>Договор безвозмездной передачи имущества  от 27.12.2016 №16/14/16</t>
  </si>
  <si>
    <t>86:02:0501001:1203-86/041/ 2018-2</t>
  </si>
  <si>
    <t>86:02:0501001:1203</t>
  </si>
  <si>
    <t>Договор выкупа жилого помещения (квартиры) от 01.02.2018</t>
  </si>
  <si>
    <t>86:02:0501001:1236</t>
  </si>
  <si>
    <t>86:02:0501001:1238</t>
  </si>
  <si>
    <t>86:02:0501001:1239</t>
  </si>
  <si>
    <t>86:02:0501001:1237</t>
  </si>
  <si>
    <t>86-86-01/011/ 2011-490</t>
  </si>
  <si>
    <t>86-86-01/011/ 2011-491</t>
  </si>
  <si>
    <t>86-86-01/011/ 2011-485</t>
  </si>
  <si>
    <t>86-86-01/026/ 2012-823</t>
  </si>
  <si>
    <t>86-86-01/036/ 2012-408</t>
  </si>
  <si>
    <t>86-86-01/037/ 2012-76</t>
  </si>
  <si>
    <t>86-86-01/037/ 2012-77</t>
  </si>
  <si>
    <t>86-86-01/015/ 2010-308</t>
  </si>
  <si>
    <t>Решение ХМР суда ХМАО-Югры от 21.09.2011</t>
  </si>
  <si>
    <t>86:02:0501001:1116</t>
  </si>
  <si>
    <t>86:02:0501001:1190</t>
  </si>
  <si>
    <t>86-86-01/026/ 2012-518</t>
  </si>
  <si>
    <t>86-86-01/023/ 2012-964</t>
  </si>
  <si>
    <t>86-86-01/026/ 2012-517</t>
  </si>
  <si>
    <t>86-86-01/020/ 2012-508</t>
  </si>
  <si>
    <t>86-86-01/023/ 2012-962</t>
  </si>
  <si>
    <t>86-86-01/023/ 2012-963</t>
  </si>
  <si>
    <t>86:02:0501001:1481</t>
  </si>
  <si>
    <t>86:02:0501001:1481-86/041/ 2018-4</t>
  </si>
  <si>
    <t>Договор безвозмездной передачи имущества от 19.10.2018 №7/17/18</t>
  </si>
  <si>
    <t>86:02:0501001:1483</t>
  </si>
  <si>
    <t>86:02:0501001:1483-86/041/ 2018-5</t>
  </si>
  <si>
    <t>86:02:0501001:1484</t>
  </si>
  <si>
    <t>86:02:0501001:1484-86/041/ 2018-5</t>
  </si>
  <si>
    <t>86:00:02:05002:034:0002</t>
  </si>
  <si>
    <t>86:02:0501001:1128</t>
  </si>
  <si>
    <t>86:02:0501001:1129</t>
  </si>
  <si>
    <t>86:02:0501001:1053</t>
  </si>
  <si>
    <t>Договор безвозмездной передачи № 16/23/14 от 31.07.2014</t>
  </si>
  <si>
    <t>86:02:0501001:1054</t>
  </si>
  <si>
    <t xml:space="preserve"> 86 АВ 001645</t>
  </si>
  <si>
    <t>86:02:0501001:1052</t>
  </si>
  <si>
    <t>86-86-01/026/2012-824</t>
  </si>
  <si>
    <t>86-86-01/024/2012-500</t>
  </si>
  <si>
    <t>86-86-01/024/2012-499</t>
  </si>
  <si>
    <t>86-86-01/022/2012-775</t>
  </si>
  <si>
    <t>86-86-01/022/2012-776</t>
  </si>
  <si>
    <t>86-86-01/022/2012-777</t>
  </si>
  <si>
    <t>86-86-01/022/2012-778</t>
  </si>
  <si>
    <t>86-86-01/018/2012-663</t>
  </si>
  <si>
    <t>86-86-01/018/2012-664</t>
  </si>
  <si>
    <t>86-86-01/018/2012-665</t>
  </si>
  <si>
    <t>86-86-01/018/2012-666</t>
  </si>
  <si>
    <t>86-86-01/018/2012-667</t>
  </si>
  <si>
    <t>86-86-01/018/ 2012-668</t>
  </si>
  <si>
    <t>86-86-01/020/ 2012-437</t>
  </si>
  <si>
    <t>86-86-01/020/ 2012-438</t>
  </si>
  <si>
    <t>86-86-01/020/ 2012-439</t>
  </si>
  <si>
    <t>86-86-01/024/ 2012-501</t>
  </si>
  <si>
    <t>86-86-01/024/ 2012-502</t>
  </si>
  <si>
    <t>86-86-01/024/ 2012-503</t>
  </si>
  <si>
    <t>86-86-01/024/ 2012-440</t>
  </si>
  <si>
    <t>86-86-01/020/ 2012-434</t>
  </si>
  <si>
    <t>86-86-01/016/ 2012-883</t>
  </si>
  <si>
    <t>86-86-01/016/ 2012-882</t>
  </si>
  <si>
    <t>86-86-01/016/ 2012-881</t>
  </si>
  <si>
    <t>86-86-01/020/ 2012-435</t>
  </si>
  <si>
    <t>86:02:0501001:1314</t>
  </si>
  <si>
    <t>86-86-01/020/ 2012-436</t>
  </si>
  <si>
    <t>86-86-01/016/ 2012-784</t>
  </si>
  <si>
    <t>86-86-01/023/ 2012-954</t>
  </si>
  <si>
    <t>86-86-01/023/ 2012-953</t>
  </si>
  <si>
    <t>86-86-01/026/ 2012-512</t>
  </si>
  <si>
    <t>86-86-01/026/ 2012-513</t>
  </si>
  <si>
    <t>86:02:0501001:1352</t>
  </si>
  <si>
    <t>Договор безвозмездной передачи имущества №16/06/17 от 27.01.2017</t>
  </si>
  <si>
    <t>86:02:0501001:1350</t>
  </si>
  <si>
    <t>86-86-01/026/ 2012-827</t>
  </si>
  <si>
    <t>86:02:0501001:1181</t>
  </si>
  <si>
    <t xml:space="preserve">86 АВ 001643 </t>
  </si>
  <si>
    <t xml:space="preserve"> Договор безвозмездной передачи от 16.12.2014 №16/56/14</t>
  </si>
  <si>
    <t>86:02:0501001:1107</t>
  </si>
  <si>
    <t>Решение ХМР суда от 30.04.2014</t>
  </si>
  <si>
    <t>86:02:0501001:1098</t>
  </si>
  <si>
    <t>Решение ХМР суда от 22.05.2014</t>
  </si>
  <si>
    <t>86:02:0501001:1058</t>
  </si>
  <si>
    <t>Решение ХМР суда от 07.05.2014</t>
  </si>
  <si>
    <t>86:02:0501001:1059</t>
  </si>
  <si>
    <t>Решение ХМР суда от 20.05.2014</t>
  </si>
  <si>
    <t>86:02:0501001:1061</t>
  </si>
  <si>
    <t>Решение ХМР суда от 14.05.2014</t>
  </si>
  <si>
    <t>86:02:0501001:1060</t>
  </si>
  <si>
    <t>86:02:0501001:1064</t>
  </si>
  <si>
    <t>Договор безвозмездной передачи имущества от 16.12.2014 №16/56/14</t>
  </si>
  <si>
    <t>86:02:0501001:1066</t>
  </si>
  <si>
    <t>86-86-01/001/ 2011-838</t>
  </si>
  <si>
    <t>86-86-01/020/ 2012-502</t>
  </si>
  <si>
    <t>86-86-01/026/ 2012-495</t>
  </si>
  <si>
    <t>86-86-01/026/ 2012-510</t>
  </si>
  <si>
    <t>86-86-01/026/ 2012-511</t>
  </si>
  <si>
    <t>86:02:0501001:1065</t>
  </si>
  <si>
    <t xml:space="preserve">Договор безвозмездной передачи имущества от 24.11.2017 №16/27/17 </t>
  </si>
  <si>
    <t>86-86-01/020/ 2012-501</t>
  </si>
  <si>
    <t>86-86-01/020/ 2012-503</t>
  </si>
  <si>
    <t>86-86-01/037/2012-78</t>
  </si>
  <si>
    <t xml:space="preserve"> 86-86-01/015/ 2010-307</t>
  </si>
  <si>
    <t>86:02:0501001:1121</t>
  </si>
  <si>
    <t>Решение ХМР суда от 29.04.2013</t>
  </si>
  <si>
    <t>86-86/001-86/001/027/2016-895/2</t>
  </si>
  <si>
    <t>договор безвозмездной передачи от 14.09.2016 №16/30/16</t>
  </si>
  <si>
    <t>86-86/001-86/001/027/2016-896/1</t>
  </si>
  <si>
    <t>86-86/001-86/001/027/2016-898/1</t>
  </si>
  <si>
    <t>86-86/001-86/001/027/2016-899/1</t>
  </si>
  <si>
    <t>86:02:0501001:1088</t>
  </si>
  <si>
    <t>86:02:0501001:1088-86/015/ 2017-1</t>
  </si>
  <si>
    <t>86:02:0501001:1253</t>
  </si>
  <si>
    <t>86:02:0705001:351</t>
  </si>
  <si>
    <t xml:space="preserve"> 86 АВ 001642 </t>
  </si>
  <si>
    <t>Договор безвозмездной передачи имущества от 16.12.2014 № 16/56/14</t>
  </si>
  <si>
    <t>86:02:0705001:337</t>
  </si>
  <si>
    <t xml:space="preserve"> Договор безвозмездной передачи имущества от 16.12.2014 №16/56/14</t>
  </si>
  <si>
    <t>86:02:0705001:429</t>
  </si>
  <si>
    <t>86:02:0705001:429-86/015/ 2017-6</t>
  </si>
  <si>
    <t>86:02:0501001:374</t>
  </si>
  <si>
    <t xml:space="preserve">Договор безвозмездной передачи имущества от 26.02.2015 №16/15/15 </t>
  </si>
  <si>
    <t>86:02:0705001:430</t>
  </si>
  <si>
    <t>86:02:0705001:430-86/001/ 2017-2</t>
  </si>
  <si>
    <t>Договор безвозмездной  передачи имущества от 21.12.2016 № 16/40/16</t>
  </si>
  <si>
    <t>86:02:0705001:428</t>
  </si>
  <si>
    <t>86:02:0705001:428-86/001/ 2017-2</t>
  </si>
  <si>
    <t>86:02:0705001:333</t>
  </si>
  <si>
    <t>Решение ХМР суда от 18.04.2014</t>
  </si>
  <si>
    <t>86-86-01/010/ 2011-801</t>
  </si>
  <si>
    <t>86-86-01/010/ 2011-802</t>
  </si>
  <si>
    <t>86-86-01/026/ 2012-829</t>
  </si>
  <si>
    <t>86-86-01/011/ 2011-494</t>
  </si>
  <si>
    <t>Договор безвозмездной передачи имущества от 10.04.2012 г, № 16/20/12</t>
  </si>
  <si>
    <t>Дговор безвозмездной передачи имущества от 25.11.2013 №16/35/13</t>
  </si>
  <si>
    <t xml:space="preserve">Договор безвозмездной передачи имущества от 10.04.2012 №16/20/12 </t>
  </si>
  <si>
    <t>Договор безвозмездной передачи имущества от 25.11.2013 №16/35/13</t>
  </si>
  <si>
    <t>86:02:0000000:5137</t>
  </si>
  <si>
    <t>Договор безвозмездной передачи имущества от 26.07.2016</t>
  </si>
  <si>
    <t>Договор безвозмездной  передачи имущества от 01.08.2017 № 16/20/17</t>
  </si>
  <si>
    <t>86-86-01/037/ 2012-092</t>
  </si>
  <si>
    <t>86-86-01/026/ 2012-491</t>
  </si>
  <si>
    <t>86:02:0901001:183</t>
  </si>
  <si>
    <t>Договор безвозмездной передачи имущества от 31.12.2014 №16/61/14</t>
  </si>
  <si>
    <t>86-86-01/037/ 2012-090</t>
  </si>
  <si>
    <t>86-86-01/037/ 2012-088</t>
  </si>
  <si>
    <t>86-86-01/037/ 2012-087</t>
  </si>
  <si>
    <t xml:space="preserve">Договор безвозмездной передачи имущества от 25.11.2013 № 16/35/13, </t>
  </si>
  <si>
    <t>86:02:0901001:302</t>
  </si>
  <si>
    <t>86:02:0901001:299</t>
  </si>
  <si>
    <t>86-86-01/015/ 2010-153</t>
  </si>
  <si>
    <t>86:02:0703001:398</t>
  </si>
  <si>
    <t>Договор безвозмездной передачи от 16.12.2014 №15/56/14</t>
  </si>
  <si>
    <t>86:02:0000000:6117</t>
  </si>
  <si>
    <t xml:space="preserve"> Договор мены от 20.10.2015, </t>
  </si>
  <si>
    <t>Решение ХМР суда от 04.08.2011</t>
  </si>
  <si>
    <t>71:129:000:000000130:0100:10002</t>
  </si>
  <si>
    <t>приказ ДИЗОП "О передаче ОС" №326-п от 17.06.2008</t>
  </si>
  <si>
    <t>86-72-13/013/ 2008-961</t>
  </si>
  <si>
    <t>Договор мены от 30.09.2008</t>
  </si>
  <si>
    <t>71:129:000:000031290:0100:10002</t>
  </si>
  <si>
    <t xml:space="preserve">Договор мены от 28.12.2011 </t>
  </si>
  <si>
    <t>86:02:000000:0000:71:129:002:280000330:00001:100003</t>
  </si>
  <si>
    <t xml:space="preserve">Договор безвозмездной передачи жил кв с зем участкомот 05.12.2011 </t>
  </si>
  <si>
    <t>86-86-01/013/ 2011-451</t>
  </si>
  <si>
    <t xml:space="preserve"> Решение ХМР суда от 02.09.2013,</t>
  </si>
  <si>
    <t>86:02:0703001:0113:71:129:001:010960480</t>
  </si>
  <si>
    <t xml:space="preserve">Договор купли-продажи ж.д и зем участка №1 от 29.06.2006г, </t>
  </si>
  <si>
    <t>86-86-01/001/ 2011-834</t>
  </si>
  <si>
    <t>86-86-01/001/ 2011-835</t>
  </si>
  <si>
    <t>86-72-13/019/ 2005-440</t>
  </si>
  <si>
    <t>86-72-13/021/ 2009-068</t>
  </si>
  <si>
    <t>86-86-01/001/ 2011-837</t>
  </si>
  <si>
    <t>86-86-01/001/ 2010-633</t>
  </si>
  <si>
    <t>86-86-01/015/ 2011-861</t>
  </si>
  <si>
    <t>86-86-01/012/ 2011-524</t>
  </si>
  <si>
    <t>86-86-01/011/ 2011-495</t>
  </si>
  <si>
    <t>86-86-01/001/2011-836</t>
  </si>
  <si>
    <t>86:02:0703001:429</t>
  </si>
  <si>
    <t>договор мены от 11.03.2014 №01</t>
  </si>
  <si>
    <t>86:02:0705001:300</t>
  </si>
  <si>
    <t>86:02:0705001:300-86/001/ 2017-2</t>
  </si>
  <si>
    <t>.Договор безвозмездной передачи имущества от 07.04.2017 №16/14/14</t>
  </si>
  <si>
    <t>86:00:02:01004:012:0006</t>
  </si>
  <si>
    <t>86:02:0704001:1620</t>
  </si>
  <si>
    <t>86:02:0704001:1621</t>
  </si>
  <si>
    <t>86:02:02:01004:022:0001</t>
  </si>
  <si>
    <t>86:02:0704001:1194</t>
  </si>
  <si>
    <t>86-86/001-86/001/010/2016-535/2</t>
  </si>
  <si>
    <t>Договор безвозмездной передачи жилой квартиры и земельного участка от 09.03.2016</t>
  </si>
  <si>
    <t>86-86-01/013/ 2011-696</t>
  </si>
  <si>
    <t>86-86-01/013/ 2011-697</t>
  </si>
  <si>
    <t>86-86-01/024/ 2011-034</t>
  </si>
  <si>
    <t>86-86-01/018/ 2011-712</t>
  </si>
  <si>
    <t>86-86-01/023/2010-288</t>
  </si>
  <si>
    <t>86:02:0701001:638</t>
  </si>
  <si>
    <t>86-86-01/020/ 2010-200</t>
  </si>
  <si>
    <t>86-86-01/015/ 2010-710</t>
  </si>
  <si>
    <t>86-86-01/015/ 2010-709</t>
  </si>
  <si>
    <t>86:00:02:01006:001:0008</t>
  </si>
  <si>
    <t>86-86-01/015 /2010-708</t>
  </si>
  <si>
    <t>86:02:0704001:0420:71:129:000:0000000590:0100:10003А</t>
  </si>
  <si>
    <t>86:02:0704001:1620-86/001/ 2017-1</t>
  </si>
  <si>
    <t>Постановление Верховного совета РФ "О разграничении гос.собственности" от 27.12.1991 №3020-1</t>
  </si>
  <si>
    <t>86-72-13/005/2008-594</t>
  </si>
  <si>
    <t>86:02:0701001:1501</t>
  </si>
  <si>
    <t>86-86-01/001/2010-139</t>
  </si>
  <si>
    <t>86:02:0701001:1206</t>
  </si>
  <si>
    <t>86:02:0704001:1157</t>
  </si>
  <si>
    <t>86:02:0704001:1459</t>
  </si>
  <si>
    <t>Договор безвозмездной передачи жилой квартиры от 28.03.2014 №16/07/14</t>
  </si>
  <si>
    <t>86:02:0704001:1482</t>
  </si>
  <si>
    <t>86:02:0704001:1474</t>
  </si>
  <si>
    <t>86:02:0704001:1463</t>
  </si>
  <si>
    <t>86:02:0704001:1479</t>
  </si>
  <si>
    <t>86:02:0704001:1475</t>
  </si>
  <si>
    <t>86:02:0704001:1480</t>
  </si>
  <si>
    <t>86:02:0704001:1470</t>
  </si>
  <si>
    <t>86:02:0704001:1478</t>
  </si>
  <si>
    <t>86:02:0704001:1464</t>
  </si>
  <si>
    <t>86 АБ 852854</t>
  </si>
  <si>
    <t>86:02:0704001:1486</t>
  </si>
  <si>
    <t>86-86-01/023/ 2010-407</t>
  </si>
  <si>
    <t>86-86-01/023/ 2010-411</t>
  </si>
  <si>
    <t>86-86-01/018/ 2010-146</t>
  </si>
  <si>
    <t xml:space="preserve">Приказ ДИЗОП "О передаче имущества"  №949-п  от 23.12.2010, </t>
  </si>
  <si>
    <t>86-86-01/018/ 2010-181</t>
  </si>
  <si>
    <t>86-86-01/018/ 2010-184</t>
  </si>
  <si>
    <t>86:02:0704001:1162</t>
  </si>
  <si>
    <t>86:02:0704001:1210</t>
  </si>
  <si>
    <t>86:02:0704001:1160</t>
  </si>
  <si>
    <t>86:02:0704001:1067</t>
  </si>
  <si>
    <t>86-86-01/009/ 2011-090</t>
  </si>
  <si>
    <t>Приказ ДИЗОП "О передаче имущества" №558-п от 21.06.2011</t>
  </si>
  <si>
    <t>86-86-01/009/ 2011-091</t>
  </si>
  <si>
    <t>86-86-01/005/ 2011-044</t>
  </si>
  <si>
    <t>86:02:0704002:764</t>
  </si>
  <si>
    <t>86:02:0704001:1519</t>
  </si>
  <si>
    <t>Договор безвозмездной передачи имущества от 31.03.2015 № 16/19/15,</t>
  </si>
  <si>
    <t>86:02:0704001:1534</t>
  </si>
  <si>
    <t>86:02:0704001:1527</t>
  </si>
  <si>
    <t>86:02:0704001:1526</t>
  </si>
  <si>
    <t>86:02:0704001:1520</t>
  </si>
  <si>
    <t>86:02:0704001:1536</t>
  </si>
  <si>
    <t>86:02:0704001:1532</t>
  </si>
  <si>
    <t>86-86-01/023/ 2010-502</t>
  </si>
  <si>
    <t>86-86-01/023/ 2010-501</t>
  </si>
  <si>
    <t>86-86-01/023/ 2010-500</t>
  </si>
  <si>
    <t>86-86-01/001/ 2011-830</t>
  </si>
  <si>
    <t>86-86-01/001/ 2011-833</t>
  </si>
  <si>
    <t>86-86-01/002/ 2011-578</t>
  </si>
  <si>
    <t>86-86-01/002/ 2011-577</t>
  </si>
  <si>
    <t>86:02:0704001:4566</t>
  </si>
  <si>
    <t>договор мены от 13.03.2017 №4</t>
  </si>
  <si>
    <t>86:02:0704002:786</t>
  </si>
  <si>
    <t>86-86/001-86/001/009/2016-212/2</t>
  </si>
  <si>
    <t>86:02:0704002:797</t>
  </si>
  <si>
    <t>86-86/001-86/001/009/2016-215-2</t>
  </si>
  <si>
    <t>86:02:0704002:791</t>
  </si>
  <si>
    <t>86-86/001-86/001/009/2016-217-2</t>
  </si>
  <si>
    <t>86:02:0704002:793</t>
  </si>
  <si>
    <t>86-86/001-86/001/009/2016-218-2</t>
  </si>
  <si>
    <t>86-86-01/024/ 2010-027</t>
  </si>
  <si>
    <t>86-86-01/020/ 2010-198</t>
  </si>
  <si>
    <t>86-86-01/020/ 2010-202</t>
  </si>
  <si>
    <t>86-86-01/020/ 2010-199</t>
  </si>
  <si>
    <t>86-86-01/020/ 2010-215</t>
  </si>
  <si>
    <t>86-86-01/020/ 2010-214</t>
  </si>
  <si>
    <t>86:00:02:01001:081:0004</t>
  </si>
  <si>
    <t xml:space="preserve"> 72 НЛ 128016 </t>
  </si>
  <si>
    <t>86-86-01/020 /2010-211</t>
  </si>
  <si>
    <t>86:00:0000000:0000:71:129:000:000000340:0100:10010</t>
  </si>
  <si>
    <t>86-86-01/025/ 2012-433</t>
  </si>
  <si>
    <t>86-86-01/015/ 2010-562</t>
  </si>
  <si>
    <t>86-86-01/020 2010-082</t>
  </si>
  <si>
    <t>86-86-01/015/ 2010-712</t>
  </si>
  <si>
    <t>86-86-01/003/ 2011-061</t>
  </si>
  <si>
    <t>86-86-01/009/ 2011-081</t>
  </si>
  <si>
    <t>86-86-01/015/ 2010-713</t>
  </si>
  <si>
    <t>86-86-01/020/ 2010-086</t>
  </si>
  <si>
    <t>86-86-01/014/ 2011-520</t>
  </si>
  <si>
    <t xml:space="preserve">Договор мены квартиры от 27.06.2011 </t>
  </si>
  <si>
    <t>86-8601/016/ 2012-489</t>
  </si>
  <si>
    <t>86-72-13/010/ 2009-640</t>
  </si>
  <si>
    <t>86-86-01/020/ 2010-084</t>
  </si>
  <si>
    <t>86-86-01/020/ 2010-083</t>
  </si>
  <si>
    <t>86-86-01/013/ 2011-695</t>
  </si>
  <si>
    <t>86:00:02:01005Ф:003:0001</t>
  </si>
  <si>
    <t>86-86-01/015/ 2010-563</t>
  </si>
  <si>
    <t>86:00:02:01002:014:0002</t>
  </si>
  <si>
    <t>Муниципальный контракт по купле продажи квартиры и земельного учатка № 7/26/06 от 08.12.2006</t>
  </si>
  <si>
    <t>86:02:0704001:1232</t>
  </si>
  <si>
    <t>72 НК 547109</t>
  </si>
  <si>
    <t>86:02:0704001:1568</t>
  </si>
  <si>
    <t>86-86/001-86/001/017/2016-785/5</t>
  </si>
  <si>
    <t xml:space="preserve">Договор безвозмездной передачи жилой квартиры от 24.05.2016, </t>
  </si>
  <si>
    <t>86:02:0704002:809</t>
  </si>
  <si>
    <t>Распоряжение Департмента по управлению гос.имуществом ХМАО-Югры "Об изъятии имущества" от 15.12.2015 №13-Р-2973, Распоряжение главы АСП "О переводе нежилого здания Дом кардон в жилой многокартирный дом"   от 16.02.2016 №32-р</t>
  </si>
  <si>
    <t>86:02:0704002:808</t>
  </si>
  <si>
    <t>86:02:00000005653</t>
  </si>
  <si>
    <t>86-86/001-86/001/021/2016-393/2</t>
  </si>
  <si>
    <t>договор безвозмездной передачи жилой квартиры от 26.07.2016</t>
  </si>
  <si>
    <t>Договор безвозмездной передачи имущества от 11.01.2017 №16/02/17</t>
  </si>
  <si>
    <t>86:02:0704001:1577</t>
  </si>
  <si>
    <t>86:02:0704001:1580</t>
  </si>
  <si>
    <t>86:02:0704001:1577-86/001/ 2017-2</t>
  </si>
  <si>
    <t>86:02:0704001:1580-86/001/ 2017-2</t>
  </si>
  <si>
    <t>86:02:0704001:1591</t>
  </si>
  <si>
    <t>86:02:0704001:1591-86/001/ 2017-2</t>
  </si>
  <si>
    <t>86:02:0704001:1592</t>
  </si>
  <si>
    <t>86:02:0704001:1592-86/001/ 2017-2</t>
  </si>
  <si>
    <t>86:02:0704001:1041</t>
  </si>
  <si>
    <t>86-86/001-86/001/028/ 2016-403/2</t>
  </si>
  <si>
    <t>Договор безвозмездной передачи жилой квартиры от 16.09.2016</t>
  </si>
  <si>
    <t>86-86-01/011/ 2011-492</t>
  </si>
  <si>
    <t>86:02:0901001:247</t>
  </si>
  <si>
    <t>Договор безвозмездной передачи имущества от 31.12.2014 №16/61/14,</t>
  </si>
  <si>
    <t>86-86-01/024/ 2012-498</t>
  </si>
  <si>
    <t>86-86-01/026/ 2012-515</t>
  </si>
  <si>
    <t>86-86-01/026/ 2012-514</t>
  </si>
  <si>
    <t>86:002:0501001:1303</t>
  </si>
  <si>
    <t>86:002:0501001:1305</t>
  </si>
  <si>
    <t>86-86/001-86/01/07/ 2016-764-2</t>
  </si>
  <si>
    <t>86-86/001-86/01/07/ 2016-762-2</t>
  </si>
  <si>
    <t>86:002:0501001:1304</t>
  </si>
  <si>
    <t>86-86/001-86/01/07/ 2016-760-2</t>
  </si>
  <si>
    <t>86:002:0501001:1306</t>
  </si>
  <si>
    <t>86-86/001-86/01/07/ 2016-763-2</t>
  </si>
  <si>
    <t>86-86-01/005/ 2012-079</t>
  </si>
  <si>
    <t>86-86-01/005/ 2012-103</t>
  </si>
  <si>
    <t>86-86-01/005/ 2012-104</t>
  </si>
  <si>
    <t>86-86-01/005/ 2012-105</t>
  </si>
  <si>
    <t>86-86-01/005/ 2012-107</t>
  </si>
  <si>
    <t>86-86-01/005/ 2012-108</t>
  </si>
  <si>
    <t>86-86-01/015/ 2010-278</t>
  </si>
  <si>
    <t>86-86-01/015/ 2010-276</t>
  </si>
  <si>
    <t>86-86-01/015/ 2010-274</t>
  </si>
  <si>
    <t>86:02:0000000:0000:71:129:000:000000300:0100:10008</t>
  </si>
  <si>
    <t>86-72-13/016/ 2008-301</t>
  </si>
  <si>
    <t>86-86-01/015/ 2010-273</t>
  </si>
  <si>
    <t>86-86-01/015/ 2010-272</t>
  </si>
  <si>
    <t>86-86-01/015/ 2010-271</t>
  </si>
  <si>
    <t>86-86-01/003/ 2011-062</t>
  </si>
  <si>
    <t>Приказ ДИЗОП   "О передаче жилого фонда " №558-п от 21.06.2011,</t>
  </si>
  <si>
    <t xml:space="preserve">Приказ ДИЗОП   "О передаче жилого фонда " №558-п от 21.06.2011, </t>
  </si>
  <si>
    <t>86:00:0000000:0000:71:129:000:000000140:0100:10008</t>
  </si>
  <si>
    <t>86-86-01/001/ 2011-832</t>
  </si>
  <si>
    <t>86-86-01/020/ 2010-081</t>
  </si>
  <si>
    <t>86-86-01/020/ 2010-210</t>
  </si>
  <si>
    <t>86-86-01/020/ 2010-209</t>
  </si>
  <si>
    <t>86-86-01/020/ 2010-208</t>
  </si>
  <si>
    <t>86-86-01/020/ 2010-207</t>
  </si>
  <si>
    <t>86-86-01/020/ 2010-206</t>
  </si>
  <si>
    <t>86-86-01/020/ 2010-205</t>
  </si>
  <si>
    <t>86-86-01/020/ 2010-204</t>
  </si>
  <si>
    <t>86-86-01/020/ 2010-203</t>
  </si>
  <si>
    <t>производств.и хоз.инвентарь</t>
  </si>
  <si>
    <t>прочие ОС</t>
  </si>
  <si>
    <t>компьют. Техника</t>
  </si>
  <si>
    <t xml:space="preserve"> недвижимого имущества</t>
  </si>
  <si>
    <t>линии передач</t>
  </si>
  <si>
    <t>жилой фонд</t>
  </si>
  <si>
    <t>недвижимое имущество</t>
  </si>
  <si>
    <t>дороги</t>
  </si>
  <si>
    <t>движимое имущество</t>
  </si>
  <si>
    <t>земля</t>
  </si>
  <si>
    <t xml:space="preserve">Приказ ДИЗО № 341-п от 10.05.2016, 01.01.2008, прицеп вагон-дом передвижной модели "Кедр" К.16.1.1, заводской Номер К.16.1.№8865 </t>
  </si>
  <si>
    <t>К.16.1.1№8865</t>
  </si>
  <si>
    <t>Приказ ДИЗО №141-п от 12.02.2015</t>
  </si>
  <si>
    <t>ВСЕГО имущества</t>
  </si>
  <si>
    <t>транспорт</t>
  </si>
  <si>
    <t>Лазерный МФУ HP LaserJet M1319 f(eol) (принтер/сканер/копир/факс/ телефон)</t>
  </si>
  <si>
    <t>1.013.6.0140</t>
  </si>
  <si>
    <t>сейф огнестойкий Valberg FRS-75 T-KL (811*485*450 мм 109 кг)</t>
  </si>
  <si>
    <t>1.080.1.0442</t>
  </si>
  <si>
    <t>ул.Ленина д.1 кв.1  п.Луговской</t>
  </si>
  <si>
    <t>86:02:0704001:1257</t>
  </si>
  <si>
    <t>86:02:0704001:1257-86/ 041/ 2019-2</t>
  </si>
  <si>
    <t xml:space="preserve">Договор безвозмездной передачи имущества от 14.01.2019 №7/01/19 </t>
  </si>
  <si>
    <t>1.080.1.0443</t>
  </si>
  <si>
    <t>ул.Ленина д.1 кв.2  п.Луговской</t>
  </si>
  <si>
    <t>86:02:0704001:1261</t>
  </si>
  <si>
    <t>86:02:0704001:1261-86/ 041/ 2019-1</t>
  </si>
  <si>
    <t>1.080.1.0444</t>
  </si>
  <si>
    <t>переул.Пушкина д.12 п.Луговской</t>
  </si>
  <si>
    <t>86:02:0704001:772</t>
  </si>
  <si>
    <t>86:02:0704001:772-86/041/ 2019-1</t>
  </si>
  <si>
    <t>договор безвозмездной передачи от 14.01.2019 №7/01/19</t>
  </si>
  <si>
    <t>1.080.1.0445</t>
  </si>
  <si>
    <t>ул.Школьная д.15 кв.2 п.Луговской</t>
  </si>
  <si>
    <t>86:02:0704001:948</t>
  </si>
  <si>
    <t>86:02:0704001:948-86/041/ 2019-2</t>
  </si>
  <si>
    <t>1.080.1.0446</t>
  </si>
  <si>
    <t>ул.Таёжная д.15 А кв.2  д.Ягурьях</t>
  </si>
  <si>
    <t>1.080.1.0447</t>
  </si>
  <si>
    <t>ул.Таёжная д.15 А кв.3  д.Ягурьях</t>
  </si>
  <si>
    <t>ул.Гагарина д.21 кв.11 п.Луговской</t>
  </si>
  <si>
    <t>86:02:0000000:5603-86/041/2019-2</t>
  </si>
  <si>
    <t>Договор выкупа жилого помещения (квартиры) от 01.04.2019</t>
  </si>
  <si>
    <t>1.080.1.0454</t>
  </si>
  <si>
    <t>ул.Пионерская д.2 кв.2 п.Луговской</t>
  </si>
  <si>
    <t>86:02:0704001:940-86/041/2018-2</t>
  </si>
  <si>
    <t>Договор безвозмездной передачи жилой квартиры и земельного участка  №2/2018 от 17.09.2018</t>
  </si>
  <si>
    <t>ул.Комсомольская д.1 кв.7 п.Луговской</t>
  </si>
  <si>
    <t>86:02:0000000:5610-86/041/2018-1</t>
  </si>
  <si>
    <t>договор безвозмездной передпчи жилой квартиры № 1/2018 от 05.03.2018</t>
  </si>
  <si>
    <t>1.080.1.0456</t>
  </si>
  <si>
    <t>ул.Комсомольская д.1 кв.3 п.Луговской</t>
  </si>
  <si>
    <t>86:02:0704001:1049-86/041/2019-2</t>
  </si>
  <si>
    <t>Договор мены №02/2019 от 28.03.2019</t>
  </si>
  <si>
    <t>1.080.1.0457</t>
  </si>
  <si>
    <t>ул.Дурицына д.36 кв.1 п.Кирпичный</t>
  </si>
  <si>
    <t>86:02:0501001:1050-86/041/2019-3</t>
  </si>
  <si>
    <t>Договор безвозмездной передачи в собственность квартиры от 23.01.2019</t>
  </si>
  <si>
    <t>1.080.2.0302</t>
  </si>
  <si>
    <t>стенд Комби с комплектацией</t>
  </si>
  <si>
    <t>Приказ ДИЗО №404-п от 03.06.2019</t>
  </si>
  <si>
    <t>10852 движимое имущество</t>
  </si>
  <si>
    <t>1.013.8.0089</t>
  </si>
  <si>
    <t>железный забор 8000/8000/100(32 п.м.) к мемориальному комплексу п.Кирпичный</t>
  </si>
  <si>
    <t>1.013.8.0090</t>
  </si>
  <si>
    <t>металлическое ограждение (32 п.м.) к мемортальному комплексу д.Белогорье)</t>
  </si>
  <si>
    <t>Договор безвозмездной передачи имущества, №7/04/19 от 30.01.2019</t>
  </si>
  <si>
    <t xml:space="preserve">Договор безвозмездной передачи имущества  №7/07/18  от 12.04.2018,  (30м3) </t>
  </si>
  <si>
    <t>1.080.0.0062</t>
  </si>
  <si>
    <t>мобильный пассажирский павильон для ожидания пассажирами судов МПП-3 (изделие №8)</t>
  </si>
  <si>
    <t>Распоряжение департамента по управлению государственным имуществом ХМАО-Югры №13-Р-1180 от 15.07.2019 "О безвозмездной передаче недвижимого имущества"</t>
  </si>
  <si>
    <t>мобильный пассажирский павильон для ожидания пассажирами судов МПП-3 (изделие №9)</t>
  </si>
  <si>
    <t>мобильный пассажирский павильон для ожидания пассажирами судов МПП-3 (изделие №10)</t>
  </si>
  <si>
    <t>1.080.0.0063</t>
  </si>
  <si>
    <t>1.080.0.0064</t>
  </si>
  <si>
    <t>1.085.5.0057</t>
  </si>
  <si>
    <t>86:02:0501001:1365</t>
  </si>
  <si>
    <t>ХМРН, п.Кирпичный</t>
  </si>
  <si>
    <t xml:space="preserve">Постоянное(бессрочное) пользование </t>
  </si>
  <si>
    <t>1.085.5.0058</t>
  </si>
  <si>
    <t>86:02:070001:440</t>
  </si>
  <si>
    <t>ХМРН, д.Белогорье</t>
  </si>
  <si>
    <t>86:02:0501001:1365-86/041/ 2019-2</t>
  </si>
  <si>
    <t>86:02:0705001:440-86/041/ 2019-1</t>
  </si>
  <si>
    <t>1.080.1.0460</t>
  </si>
  <si>
    <t>дороги местного значения ул.Ленина п.Луговской</t>
  </si>
  <si>
    <t>Распоряжение АСП №162-р от 04.10.2019 "Об утверждении Перечня автомобильных дорог общего пользования местного значения СП Луговской"</t>
  </si>
  <si>
    <t>1.080.1.0461</t>
  </si>
  <si>
    <t>дороги местного значения ул.Ленина (2)  п.Луговской</t>
  </si>
  <si>
    <t>дороги местного значения ул.Строителей  п.Луговской</t>
  </si>
  <si>
    <t>1.080.1.0462</t>
  </si>
  <si>
    <t>дороги местного значения ул.Гагарина  п.Луговской</t>
  </si>
  <si>
    <t>1.080.1.0463</t>
  </si>
  <si>
    <t>1.080.1.0464</t>
  </si>
  <si>
    <t>дороги местного значения ул.Рабочая  п.Луговской</t>
  </si>
  <si>
    <t>1.080.1.0465</t>
  </si>
  <si>
    <t>дороги местного значения ул.Пионерская  п.Луговской</t>
  </si>
  <si>
    <t>1.080.1.0466</t>
  </si>
  <si>
    <t>дороги местного значения ул.Школьная п.Луговской</t>
  </si>
  <si>
    <t>1.080.1.0467</t>
  </si>
  <si>
    <t>дороги местного значения ул.Заводская п.Луговской</t>
  </si>
  <si>
    <t>1.080.1.0468</t>
  </si>
  <si>
    <t>дороги местного значения ул.Пушкина п.Луговской</t>
  </si>
  <si>
    <t>1.080.1.0469</t>
  </si>
  <si>
    <t>дороги местного значения переул.Пушкина п.Луговской</t>
  </si>
  <si>
    <t>1.080.1.0470</t>
  </si>
  <si>
    <t>дороги местного значения переул.№1 (ул.Школьная) п.Луговской</t>
  </si>
  <si>
    <t>1.080.1.0471</t>
  </si>
  <si>
    <t>дороги местного значения ул.Комсомольская (участок1) п.Луговской</t>
  </si>
  <si>
    <t>1.080.1.0472</t>
  </si>
  <si>
    <t>дороги местного значения ул.Комсомольская (участок2) п.Луговской</t>
  </si>
  <si>
    <t>1.080.1.0473</t>
  </si>
  <si>
    <t>дороги местного значения проезд от ул.Гагарина до ул. Ленина п.Луговской</t>
  </si>
  <si>
    <t>1.080.1.0474</t>
  </si>
  <si>
    <t>дороги местного значения ул. Набережная п.Луговской</t>
  </si>
  <si>
    <t>1.080.1.0475</t>
  </si>
  <si>
    <t>дороги местного значения проезд №1 п.Луговской</t>
  </si>
  <si>
    <t>1.080.1.0476</t>
  </si>
  <si>
    <t>дороги местного значения проезд №2 п.Луговской</t>
  </si>
  <si>
    <t>1.080.1.0477</t>
  </si>
  <si>
    <t>дороги местного значения проезд №3 п.Луговской</t>
  </si>
  <si>
    <t>1.080.1.0478</t>
  </si>
  <si>
    <t>дороги местного значения проезд №4 п.Луговской</t>
  </si>
  <si>
    <t>1.080.1.0479</t>
  </si>
  <si>
    <t>дороги местного значения проезд к лесничеству п.Луговской</t>
  </si>
  <si>
    <t>1.080.1.0480</t>
  </si>
  <si>
    <t>дороги местного значения проезд к ВОС п.Луговской</t>
  </si>
  <si>
    <t>1.080.1.0481</t>
  </si>
  <si>
    <t>дороги местного значения ул.Строителей п.Кирпичный</t>
  </si>
  <si>
    <t>1.080.1.0482</t>
  </si>
  <si>
    <t>дороги местного значения ул.Дурицына п.Кирпичный</t>
  </si>
  <si>
    <t>1.080.1.0483</t>
  </si>
  <si>
    <t>дороги местного значения ул.Ахметшина п.Кирпичный</t>
  </si>
  <si>
    <t>1.080.1.0484</t>
  </si>
  <si>
    <t>дороги местного значения ул.Комсомольская п.Кирпичный</t>
  </si>
  <si>
    <t>1.080.1.0485</t>
  </si>
  <si>
    <t>дороги местного значения ул.Первомайская п.Кирпичный</t>
  </si>
  <si>
    <t xml:space="preserve">ХМРН, п. Кирпичный </t>
  </si>
  <si>
    <t>1.080.1.0486</t>
  </si>
  <si>
    <t>дороги местного значения ул.Попова п.Кирпичный</t>
  </si>
  <si>
    <t>1.080.1.0487</t>
  </si>
  <si>
    <t>1.080.1.0488</t>
  </si>
  <si>
    <t>дороги местного значения ул.Лесная п.Кирпичный</t>
  </si>
  <si>
    <t>дороги местного значения переул.Строителей п.Кирпичный</t>
  </si>
  <si>
    <t>1.080.1.0489</t>
  </si>
  <si>
    <t>1.080.1.0490</t>
  </si>
  <si>
    <t>дороги местного значения переул.№1 п.Кирпичный</t>
  </si>
  <si>
    <t>дороги местного значения переул.№3 п.Кирпичный</t>
  </si>
  <si>
    <t>1.080.1.0491</t>
  </si>
  <si>
    <t>дороги местного значения переул.№4 п.Кирпичный</t>
  </si>
  <si>
    <t>1.080.1.0492</t>
  </si>
  <si>
    <t>дороги местного значения переул.№5 п.Кирпичный</t>
  </si>
  <si>
    <t>1.080.1.0493</t>
  </si>
  <si>
    <t>дороги местного значения переул.№6 п.Кирпичный</t>
  </si>
  <si>
    <t>1.080.1.0494</t>
  </si>
  <si>
    <t>дороги местного значения переул.№7 п.Кирпичный</t>
  </si>
  <si>
    <t>1.080.1.0495</t>
  </si>
  <si>
    <t>дороги местного значения переул.№8 п.Кирпичный</t>
  </si>
  <si>
    <t>1.080.1.0496</t>
  </si>
  <si>
    <t>дороги местного значения переул.№9 п.Кирпичный</t>
  </si>
  <si>
    <t>1.080.1.0497</t>
  </si>
  <si>
    <t>дороги местного значения переул.№10 п.Кирпичный</t>
  </si>
  <si>
    <t>1.080.1.0498</t>
  </si>
  <si>
    <t>дороги местного значения ул.Мира д.Белогорье</t>
  </si>
  <si>
    <t>1.080.1.0499</t>
  </si>
  <si>
    <t>дороги местного значения переул.Пионерский д.Белогорье</t>
  </si>
  <si>
    <t>1.080.1.0500</t>
  </si>
  <si>
    <t>дороги местного значения ул.Новая д.Белогорье</t>
  </si>
  <si>
    <t>1.080.1.0501</t>
  </si>
  <si>
    <t>дороги местного значения ул.Школьная д.Белогорье</t>
  </si>
  <si>
    <t>1.080.1.0502</t>
  </si>
  <si>
    <t>дороги местного значения переул.№1 д.Белогорье</t>
  </si>
  <si>
    <t>1.080.1.0503</t>
  </si>
  <si>
    <t>дороги местного значения переул.№2 д.Белогорье</t>
  </si>
  <si>
    <t>1.080.1.0504</t>
  </si>
  <si>
    <t>дороги местного значения переул.№3 д.Белогорье</t>
  </si>
  <si>
    <t xml:space="preserve">ХМРН, д.Белогорье </t>
  </si>
  <si>
    <t>1.080.1.0505</t>
  </si>
  <si>
    <t>дороги местного значения ул.Мира с.Троица</t>
  </si>
  <si>
    <t>ХМРН, с.Троица</t>
  </si>
  <si>
    <t>1.080.1.0506</t>
  </si>
  <si>
    <t>дороги местного значения ул.Центральная с.Троица</t>
  </si>
  <si>
    <t>1.080.1.0507</t>
  </si>
  <si>
    <t>дороги местного значения ул.Молодежная с.Троица</t>
  </si>
  <si>
    <t>1.080.1.0508</t>
  </si>
  <si>
    <t>дороги местного значения ул.Озерная с.Троица</t>
  </si>
  <si>
    <t>1.080.1.0509</t>
  </si>
  <si>
    <t>дороги местного значения переул.№1 с.Троица</t>
  </si>
  <si>
    <t>1.080.1.0510</t>
  </si>
  <si>
    <t>дороги местного значения переул.№2 с.Троица</t>
  </si>
  <si>
    <t>1.080.1.0511</t>
  </si>
  <si>
    <t>дороги местного значения переул.№3 с.Троица</t>
  </si>
  <si>
    <t>1.080.1.0512</t>
  </si>
  <si>
    <t>дороги местного значения переул.№4 с.Троица</t>
  </si>
  <si>
    <t>1.080.1.0513</t>
  </si>
  <si>
    <t>дороги местного значения переул.№5 с.Троица</t>
  </si>
  <si>
    <t>1.080.1.0514</t>
  </si>
  <si>
    <t>дороги местного значения проезд.№1 с.Троица</t>
  </si>
  <si>
    <t>1.080.1.0515</t>
  </si>
  <si>
    <t>дороги местного значения проезд.№2 с.Троица</t>
  </si>
  <si>
    <t>1.080.1.0516</t>
  </si>
  <si>
    <t>дороги местного значения проезд. К складу ГСМ с.Троица</t>
  </si>
  <si>
    <t>1.080.1.0458</t>
  </si>
  <si>
    <t>ул.Гагарина д.21 кв.10 п.Луговской</t>
  </si>
  <si>
    <t>86:02:0000000:8312-86/041/2019-3</t>
  </si>
  <si>
    <t>1.080.1.0518</t>
  </si>
  <si>
    <t>ул.Ленина д.81 кв.8 п.Луговской</t>
  </si>
  <si>
    <t>86:02:0704001:1127-86/041/2019-2</t>
  </si>
  <si>
    <t>Договор безвозмездной передачи жилой квартиры №1  от 31.01.2017,</t>
  </si>
  <si>
    <t>1.080.1.0519</t>
  </si>
  <si>
    <t>ул.Ленина д.68 кв.2 п.Луговской</t>
  </si>
  <si>
    <t>86:02:0000000:5656-86/041/2019-3</t>
  </si>
  <si>
    <t xml:space="preserve">Договор безвозмездной передачи имущества от 14.06.2019 № б/н, </t>
  </si>
  <si>
    <t>1.080.1.0517</t>
  </si>
  <si>
    <t>86:02:0703001:756</t>
  </si>
  <si>
    <t xml:space="preserve">ХМРН, с.Троица ул. Молодежная </t>
  </si>
  <si>
    <t xml:space="preserve">Договор безвозмездной передачи имущества от №7/17/19 12.11.2019,  (30м3) </t>
  </si>
  <si>
    <t>1.085.5.0063</t>
  </si>
  <si>
    <t>86:02:0704002:422</t>
  </si>
  <si>
    <t>ХМРН, п.Луговской ул.Ленина д.68 кв.2</t>
  </si>
  <si>
    <t>86:02:0704002:422- 86/ 041/ 2019-2</t>
  </si>
  <si>
    <t>Договор мены № 1/2019 от 14.06.2019</t>
  </si>
  <si>
    <t>1.013.8.0091</t>
  </si>
  <si>
    <t>станок универсальный деревообрабатывающий СТИНКО WOODKRAFT ST-2200R (реймус)</t>
  </si>
  <si>
    <t>1.080.1.0524</t>
  </si>
  <si>
    <t>ул.Набережная д.9Б кв.1 д.Белогорье</t>
  </si>
  <si>
    <t>86:02:0705001:557</t>
  </si>
  <si>
    <t xml:space="preserve">Приказ ДИЗО "О безвозмездной передаче недвижимого имущества в муниципальную собственность" №1078 -п от 02.12.2019, </t>
  </si>
  <si>
    <t>1.080.1.0525</t>
  </si>
  <si>
    <t>ул.Набережная д.9Б кв.2 д.Белогорье</t>
  </si>
  <si>
    <t>86:02:0705001:558</t>
  </si>
  <si>
    <t>1.080.1.0528</t>
  </si>
  <si>
    <t>ул.Обская д.21 кв.2 с.Троица</t>
  </si>
  <si>
    <t>86:02:0703001:763</t>
  </si>
  <si>
    <t>86:02:0703001:763-86/041/ 2019-3</t>
  </si>
  <si>
    <t xml:space="preserve">Договор безвозмездной передачи имущества  от 24.12.2019 №7/24/19, </t>
  </si>
  <si>
    <t>персональный компьютер Arcer Aspire XC-886</t>
  </si>
  <si>
    <t>1.080.1.0532</t>
  </si>
  <si>
    <t>ул.Ленина д.81 кв.9 п.Луговской</t>
  </si>
  <si>
    <t>86:02:0000000:5667-86/041/2019-2</t>
  </si>
  <si>
    <t>Договор безвозмездной передачи жилой квартиры №1/2019 от 16.10.2019,</t>
  </si>
  <si>
    <t>1.080.1.0533</t>
  </si>
  <si>
    <t>ул.Дурицына д.10 кв.3  п.Кирпичный</t>
  </si>
  <si>
    <t>86:02:0501001:1244-86/041/2019-2</t>
  </si>
  <si>
    <t>Договор безвозмездной передачи имущества от 16.10.2019 №2/2019</t>
  </si>
  <si>
    <t>Договор безвозмездной передачи имущества от 31.01.2020 №7/02/20</t>
  </si>
  <si>
    <t>1.080.1.0535</t>
  </si>
  <si>
    <t>ул.Ленина д.75 кв.2  п.Луговской</t>
  </si>
  <si>
    <t>86:02:0704002:1053</t>
  </si>
  <si>
    <t>86:02:0704002:1053-86/041/2020-3</t>
  </si>
  <si>
    <t>1.080.1.0537</t>
  </si>
  <si>
    <t>ул.Ленина д.75 кв.4  п.Луговской</t>
  </si>
  <si>
    <t>86:02:0704002:1055</t>
  </si>
  <si>
    <t>86:02:0704002:1055-86/041/2020-3</t>
  </si>
  <si>
    <t>86:02:0704002:1056</t>
  </si>
  <si>
    <t>86:02:0704002:1056-86/041/2020-3</t>
  </si>
  <si>
    <t>ул.Ленина д.75 кв.5  п.Луговской</t>
  </si>
  <si>
    <t>1.080.1.0538</t>
  </si>
  <si>
    <t>1.080.1.0539</t>
  </si>
  <si>
    <t>ул.Ленина д.75 кв.6  п.Луговской</t>
  </si>
  <si>
    <t>86:02:0704002:1057</t>
  </si>
  <si>
    <t>86:02:0704002:1057-86/041/2020-3</t>
  </si>
  <si>
    <t>1.080.1.0542</t>
  </si>
  <si>
    <t>ул.Ленина д.75 кв.9  п.Луговской</t>
  </si>
  <si>
    <t>86:02:0704002:1036</t>
  </si>
  <si>
    <t>86:02:0704002:1036-86/041/2020-3</t>
  </si>
  <si>
    <t>1.080.1.0544</t>
  </si>
  <si>
    <t>ул.Ленина д.75 кв.11  п.Луговской</t>
  </si>
  <si>
    <t>86:02:0704002:1038</t>
  </si>
  <si>
    <t>86:02:0704002:1038-86/041/2020-3</t>
  </si>
  <si>
    <t>1.080.1.0547</t>
  </si>
  <si>
    <t>ул.Ленина д.75 кв.14  п.Луговской</t>
  </si>
  <si>
    <t>86:02:0704002:1041</t>
  </si>
  <si>
    <t>86:02:0704002:1041-86/041/2020-3</t>
  </si>
  <si>
    <t>1.080.1.0548</t>
  </si>
  <si>
    <t>ул.Ленина д.75 кв.15  п.Луговской</t>
  </si>
  <si>
    <t>86:02:0704002:1042</t>
  </si>
  <si>
    <t>86:02:0704002:1042-86/041/2020-3</t>
  </si>
  <si>
    <t>1.080.1.0549</t>
  </si>
  <si>
    <t>ул.Ленина д.75 кв.16  п.Луговской</t>
  </si>
  <si>
    <t>86:02:0704002:1043</t>
  </si>
  <si>
    <t>86:02:0704002:1043-86/041/2020-3</t>
  </si>
  <si>
    <t>86:02:0704002:1045</t>
  </si>
  <si>
    <t>1.080.1.0551</t>
  </si>
  <si>
    <t>ул.Ленина д.75 кв.18  п.Луговской</t>
  </si>
  <si>
    <t>86:02:0704002:1045-86/041/2020-3</t>
  </si>
  <si>
    <t>1.080.1.0554</t>
  </si>
  <si>
    <t>ул.Обская д.21 кв.1 с.Троица</t>
  </si>
  <si>
    <t>86:02:0703001:762</t>
  </si>
  <si>
    <t>86:02:0703001:762-86/041/ 2020-3</t>
  </si>
  <si>
    <t xml:space="preserve">Договор безвозмездной передачи имущества  от 05.02.2020 №7/05/20, </t>
  </si>
  <si>
    <t>1.080.1.0555</t>
  </si>
  <si>
    <t>ул.Комсомольская д.15 кв.1 п.Кирпичный</t>
  </si>
  <si>
    <t>86:02:0501001:1490</t>
  </si>
  <si>
    <t xml:space="preserve"> Договор безвозмездной передачи жил. квартиры от 05.02.2020 № 7/06/20</t>
  </si>
  <si>
    <t>1.080.1.0557</t>
  </si>
  <si>
    <t>ул.Комсомольская д.15 кв.3 п.Кирпичный</t>
  </si>
  <si>
    <t>86:02:0501001:1492</t>
  </si>
  <si>
    <t>1.080.1.0558</t>
  </si>
  <si>
    <t>ул.Комсомольская д.15 кв.4 п.Кирпичный</t>
  </si>
  <si>
    <t>86:02:0501001:1493</t>
  </si>
  <si>
    <t>1.080.1.0559</t>
  </si>
  <si>
    <t>ул.Центральная д.35 кв.3 с.Троица</t>
  </si>
  <si>
    <t>86:02:0000000:5149</t>
  </si>
  <si>
    <t xml:space="preserve">Договор безвозмездной передачи имущества от 31.12.2019 №3/2019 </t>
  </si>
  <si>
    <t>1.080.1.0560</t>
  </si>
  <si>
    <t>ул.Центральная д.48 кв.2 с.Троица</t>
  </si>
  <si>
    <t>86:02:0703001:416</t>
  </si>
  <si>
    <t>1.085.5.0065</t>
  </si>
  <si>
    <t>86:02:0704002:1060</t>
  </si>
  <si>
    <t>ХМРН, п.Луговской ул.Гагарина д.35</t>
  </si>
  <si>
    <t>86:02:0704002:1060-86/041/2020-2</t>
  </si>
  <si>
    <t>86:02:0703001:18</t>
  </si>
  <si>
    <t>ХМРН с. Троица  ул.Центральная д.48 кв.2</t>
  </si>
  <si>
    <t>86:02:0703001:18-86/041/2020-2</t>
  </si>
  <si>
    <t>Договор безвозмездной передачи жилой квартиры с земельным участком от 31.12.2019 №3/2019</t>
  </si>
  <si>
    <t>ИТОГО 10851</t>
  </si>
  <si>
    <t>ИТОГО 10852</t>
  </si>
  <si>
    <t>ИТОГО 10855</t>
  </si>
  <si>
    <t>1.013.4.0242</t>
  </si>
  <si>
    <t>компьютер Arcer Aspire XC-886 (Intel Core i3 9100.3.6) персональный</t>
  </si>
  <si>
    <t>1.080.1.0561</t>
  </si>
  <si>
    <t>ул.Заводская д.1 кв.5 п.Луговской</t>
  </si>
  <si>
    <t>86:02:0704001:906</t>
  </si>
  <si>
    <t>Договор мены №07/202  от 07.02.2020</t>
  </si>
  <si>
    <t>1.085.0.0562</t>
  </si>
  <si>
    <t>ул.Заводская д.1 кв.11 п.Луговской</t>
  </si>
  <si>
    <t>86:02:0704001:1197</t>
  </si>
  <si>
    <t xml:space="preserve">86:02:0704001:1197-86/041/2020-4 </t>
  </si>
  <si>
    <t>Договор мены №06/2020 от 07.02.2020</t>
  </si>
  <si>
    <t>1.085.0.0563</t>
  </si>
  <si>
    <t>ул.Заводская д.1 кв.15 п.Луговской</t>
  </si>
  <si>
    <t>86:02:0704001:1044</t>
  </si>
  <si>
    <t>86:02:0704001:1044-86/041/2020-2</t>
  </si>
  <si>
    <t>Договор мены №09/2020 от 13.02.2020</t>
  </si>
  <si>
    <t>1.080.1.0565</t>
  </si>
  <si>
    <t>ул.Комсомольская д.12 кв.3 п.Кирпичный</t>
  </si>
  <si>
    <t>86:02:0501001:1166</t>
  </si>
  <si>
    <t xml:space="preserve"> Договор мены №09/2020 от 07.02.2020</t>
  </si>
  <si>
    <t>Договор мены (квартиры)№ 01/2019 от 28.01.2019</t>
  </si>
  <si>
    <t>1.080.1.0556</t>
  </si>
  <si>
    <t>ул.Ленина д.75 кв.19  п.Луговской</t>
  </si>
  <si>
    <t>86:02:0704002:1047</t>
  </si>
  <si>
    <t>86:02:0704002:1047-86/041/2020-4</t>
  </si>
  <si>
    <t xml:space="preserve">Договор безвозмездной передачи имущества №7/11/20 от 08.06.2020 </t>
  </si>
  <si>
    <t>ул.Ленина д.75 кв.22  п.Луговской</t>
  </si>
  <si>
    <t>86:02:0704002:1050</t>
  </si>
  <si>
    <t>86:02:0704002:1050-86/041/2020-3</t>
  </si>
  <si>
    <t>1.080.1.0568</t>
  </si>
  <si>
    <t>ул.Комсомольская д.7а кв.24 п.Луговской</t>
  </si>
  <si>
    <t>86:02:0704001:1358</t>
  </si>
  <si>
    <t>договор безвозмездной передачи квартиры в собственность СП Луговской № 4/2020 от 11.02.2020</t>
  </si>
  <si>
    <t>1.080.1.0569</t>
  </si>
  <si>
    <t>ул.Комсомольская д.1 кв.1 п.Луговской</t>
  </si>
  <si>
    <t>86:02:0704001:1202</t>
  </si>
  <si>
    <t>Договор мены №11/2020 от 20.02.2020</t>
  </si>
  <si>
    <t>1.085.1.0570</t>
  </si>
  <si>
    <t>ул.Гагарина д.21 кв.1 п.Луговской</t>
  </si>
  <si>
    <t>86:02:0000000:5604</t>
  </si>
  <si>
    <t>Договор мены  №08/2020 от 07.02.2020 г</t>
  </si>
  <si>
    <t>1.013.4.0243</t>
  </si>
  <si>
    <t>персональный компьютер Arcer Aspire</t>
  </si>
  <si>
    <t>1.013.4.0244</t>
  </si>
  <si>
    <t>1.080.2.0310</t>
  </si>
  <si>
    <t>контейнер металлический для раздельного сбора ТБО</t>
  </si>
  <si>
    <t>Приказ ДИЗО №520-п от 16.06.2020</t>
  </si>
  <si>
    <t>1.080.2.0311</t>
  </si>
  <si>
    <t>1.080.2.0312</t>
  </si>
  <si>
    <t>1.080.2.0313</t>
  </si>
  <si>
    <t>1.080.2.0314</t>
  </si>
  <si>
    <t>1.080.2.0315</t>
  </si>
  <si>
    <t>1.080.2.0316</t>
  </si>
  <si>
    <t>1.080.2.0317</t>
  </si>
  <si>
    <t>1.080.2.0318</t>
  </si>
  <si>
    <t>1.080.2.0319</t>
  </si>
  <si>
    <t>1.080.2.0320</t>
  </si>
  <si>
    <t>1.080.2.0321</t>
  </si>
  <si>
    <t>1.080.1.0571</t>
  </si>
  <si>
    <t>ул.Ленина д.101 кв.8 п.Луговской</t>
  </si>
  <si>
    <t>86:02:0704001:1753</t>
  </si>
  <si>
    <t>договор безвозмездной передачи жилой квартиры №2/2020  от 30.06.2020</t>
  </si>
  <si>
    <t>1.085.0.0572</t>
  </si>
  <si>
    <t>ул.Заводская д.1 кв.1 п.Луговской</t>
  </si>
  <si>
    <t>86:02:0704001:1244</t>
  </si>
  <si>
    <t>Договор мены №12/2020  от 03.08.2020</t>
  </si>
  <si>
    <t>1.085.5.0066</t>
  </si>
  <si>
    <t>земельный участок (ритуальная деятельность )</t>
  </si>
  <si>
    <t>86:02:0704002:417</t>
  </si>
  <si>
    <t>ХМРН п. Луговской</t>
  </si>
  <si>
    <t>86:02:0704002:417-86/041/2020-4</t>
  </si>
  <si>
    <t xml:space="preserve">Приказ ДИЗОП от 25.08.2020 №793-п " О передаче недвижимого имущества" </t>
  </si>
  <si>
    <t>1.085.5.0067</t>
  </si>
  <si>
    <t>86:02:0703001:243</t>
  </si>
  <si>
    <t>86:02:0703001:243-86/041/2020-4</t>
  </si>
  <si>
    <t>1.085.5.0068</t>
  </si>
  <si>
    <t>ХМРН с.Троица</t>
  </si>
  <si>
    <t>ХМРН д.Ягурьях</t>
  </si>
  <si>
    <t>86:02:0901001:105</t>
  </si>
  <si>
    <t>86:02:0901001:105-86/041/2020-4</t>
  </si>
  <si>
    <t>1.085.0.0573</t>
  </si>
  <si>
    <t>ул.Заводская д.1 кв.13 п.Луговской</t>
  </si>
  <si>
    <t>86:02:0704001:1103</t>
  </si>
  <si>
    <t>Договор выкупа  №1 от 22.06.2020</t>
  </si>
  <si>
    <t>86:02:0000000:5604-86/ 041/2020-2</t>
  </si>
  <si>
    <t>86:02:0501001:1050-86/ 041/2019-3</t>
  </si>
  <si>
    <t>86:02:0704001:1244-86/ 041/2020-4</t>
  </si>
  <si>
    <t>86:02:0704001:906-86/041/ 2020-10</t>
  </si>
  <si>
    <t>86:02:0704001:1103-86/041 /2020-2</t>
  </si>
  <si>
    <t>86:02:0704001:1049-86/041 /2019-2</t>
  </si>
  <si>
    <t>86:02:0704001:1202-86/041 /2019-2</t>
  </si>
  <si>
    <t>86:02:0000000:5610-86/041/ 2018-1</t>
  </si>
  <si>
    <t>86:02:0704001:1621-86/001 /2017-1</t>
  </si>
  <si>
    <t>86:02:0704001:1358-86/041/ 2020-4</t>
  </si>
  <si>
    <t>86:02:0501001:1166-86/041/ 2020-4</t>
  </si>
  <si>
    <t>86:02:0501001:1492-86/041/ 2020-3</t>
  </si>
  <si>
    <t>86:02:0501001:1493-86/041/ 2020-3</t>
  </si>
  <si>
    <t>86:02:0501001:1490-86041/ 2020-3</t>
  </si>
  <si>
    <t xml:space="preserve"> 86 АВ 001768</t>
  </si>
  <si>
    <t xml:space="preserve"> 86 АВ 001764</t>
  </si>
  <si>
    <t xml:space="preserve"> 86 АВ 001763 </t>
  </si>
  <si>
    <t xml:space="preserve"> 86 АВ 001766 </t>
  </si>
  <si>
    <t>86-86/001-86/ 001/027/2016-268/1</t>
  </si>
  <si>
    <t>86-86/001-86/ 001/027/2016-269/1</t>
  </si>
  <si>
    <t>86:02:0704001:4566-86/001/ 2017-2</t>
  </si>
  <si>
    <t>86:02:0704001:1753-86/041/ 2020-3</t>
  </si>
  <si>
    <t>86:02:070501:557-86/0741/ 2019-3</t>
  </si>
  <si>
    <t>86:02:070501:558-86/0741/ 2019-3</t>
  </si>
  <si>
    <t>86-86/001-86/ 001/020/2016-459/2</t>
  </si>
  <si>
    <t>86:02:0704001:940-86/041/ 2018-2</t>
  </si>
  <si>
    <t>86:02:0501001:1065-86/010/ 2017-2</t>
  </si>
  <si>
    <t>86-86/001-86/ 001/027/2016-267/2</t>
  </si>
  <si>
    <t>86-86/001-86/ 001/027/2016-270/2</t>
  </si>
  <si>
    <t>86:02:0501001:1352-86/001/ 2017-2</t>
  </si>
  <si>
    <t>86:02:0501001:1350-86/001/ 2017-2</t>
  </si>
  <si>
    <t>86:02:0000000:5149-86/041/ 2020-2</t>
  </si>
  <si>
    <t>86:02:0703001:416-86/041/ 2020-2</t>
  </si>
  <si>
    <t>86-86/001-86/001/028/2015-603/1</t>
  </si>
  <si>
    <t>86:02:0000000:6797</t>
  </si>
  <si>
    <t>86:02:0000000:6798</t>
  </si>
  <si>
    <t>86-86/001-86/001/028/2015-604/1</t>
  </si>
  <si>
    <t>86:02:0000000:6799</t>
  </si>
  <si>
    <t>86-86/001-86/001/016/2015-863/1</t>
  </si>
  <si>
    <t>86:02:0000000:6796</t>
  </si>
  <si>
    <t>86-86/001-86/001/028/2015-602/1</t>
  </si>
  <si>
    <t>86:02:0000000:6821</t>
  </si>
  <si>
    <t>86-86/001-86/001/028/2015-601/1</t>
  </si>
  <si>
    <t>86:02:0000000:6795</t>
  </si>
  <si>
    <t>86-86/001-86/001/028/2015-600/1</t>
  </si>
  <si>
    <t>86:02:0000000:6794</t>
  </si>
  <si>
    <t>86-86/001-86/001/028/2015-597/1</t>
  </si>
  <si>
    <t>86:02:0000000:6728</t>
  </si>
  <si>
    <t>86-86/001-86/001/010/2015-17/1</t>
  </si>
  <si>
    <t>86:02:0000000:6731</t>
  </si>
  <si>
    <t>86-86/001-86/001/010/2015-73/1</t>
  </si>
  <si>
    <t>86:02:0000000:6730</t>
  </si>
  <si>
    <t>86-86/001-86/001/010/2015-72/1</t>
  </si>
  <si>
    <t>86:02:0000000:6810</t>
  </si>
  <si>
    <t>86-86/001-86/001/010/2015-831/1</t>
  </si>
  <si>
    <t>86:02:0000000:6807</t>
  </si>
  <si>
    <t>86-86/001-86/001/010/2015-825/1</t>
  </si>
  <si>
    <t>86:02:0704001:1544</t>
  </si>
  <si>
    <t>86-86/001-86/001/012/2015-826/1</t>
  </si>
  <si>
    <t>86:02:0000000:6811</t>
  </si>
  <si>
    <t>86-86/001-86/001/012/2015-828/1</t>
  </si>
  <si>
    <t>86:02:0000000:6824</t>
  </si>
  <si>
    <t>86-86/001-86/001/012/2015-827/1</t>
  </si>
  <si>
    <t>86:02:0000000:6729</t>
  </si>
  <si>
    <t>86-86/001-86/001/010/2015-75/1</t>
  </si>
  <si>
    <t>86:02:0000000:6806</t>
  </si>
  <si>
    <t>86-86/001-86/001/028/2015-578/1</t>
  </si>
  <si>
    <t>86:02:0000000:6816</t>
  </si>
  <si>
    <t>86-86/001-86/001/028/2015-582/1</t>
  </si>
  <si>
    <t>86:02:0000000:6819</t>
  </si>
  <si>
    <t>86-86/001-86/001/028/2015-589/1</t>
  </si>
  <si>
    <t>86:02:0000000:6820</t>
  </si>
  <si>
    <t>86-86/001-86/001/028/2015-593/1</t>
  </si>
  <si>
    <t>86:02:0000000:6805</t>
  </si>
  <si>
    <t>86-86/001-86/001/028/2015-579/1</t>
  </si>
  <si>
    <t>86:02:0000000:6800</t>
  </si>
  <si>
    <t>86-86/001-86/001/028/2015-592/1</t>
  </si>
  <si>
    <t>86:02:0000000:6801</t>
  </si>
  <si>
    <t>86-86/001-86/001/028/2015-591/1</t>
  </si>
  <si>
    <t>86:02:0000000:6803</t>
  </si>
  <si>
    <t>86-86/001-86/001/028/2015-576/1</t>
  </si>
  <si>
    <t>86:02:0000000:6802</t>
  </si>
  <si>
    <t>86-86/001-86/001/028/2015-584/1</t>
  </si>
  <si>
    <t>86:02:0000000:6804</t>
  </si>
  <si>
    <t>86-86/001-86/001/028/2015-580/1</t>
  </si>
  <si>
    <t>86:02:0000000:6808</t>
  </si>
  <si>
    <t>86-86/001-86/001/012/2015-824/1</t>
  </si>
  <si>
    <t>86:02:0000000:6841</t>
  </si>
  <si>
    <t>86-86/001-86/001/028/2015-685/1</t>
  </si>
  <si>
    <t>86:02:0000000:6832</t>
  </si>
  <si>
    <t>86-86/001-86/001/012/2015-818/1</t>
  </si>
  <si>
    <t>86:02:0000000:6839</t>
  </si>
  <si>
    <t>86-86/001-86/001/028/2015-675/1</t>
  </si>
  <si>
    <t>86:02:0000000:6813</t>
  </si>
  <si>
    <t>86-86/001-86/001/028/2015-677/1</t>
  </si>
  <si>
    <t>86:02:0000000:6815</t>
  </si>
  <si>
    <t>86-86/001-86/001/012/2015-819/1</t>
  </si>
  <si>
    <t>86:02:0501001:1291</t>
  </si>
  <si>
    <t>86-86/001-86/001/012/2015-814/1</t>
  </si>
  <si>
    <t>86:02:0000000:6835</t>
  </si>
  <si>
    <t>86-86/001-86/001/012/2015-821/1</t>
  </si>
  <si>
    <t>86:02:0000000:6814</t>
  </si>
  <si>
    <t>86-86/001-86/001/028/2015-605/1</t>
  </si>
  <si>
    <t>86:02:0000000:6833</t>
  </si>
  <si>
    <t>86-86/001-86/001/012/2015-815/1</t>
  </si>
  <si>
    <t>86:02:0000000:6840</t>
  </si>
  <si>
    <t>86-86/001-86/001/028/2015-678/1</t>
  </si>
  <si>
    <t>86:02:0000000:6836</t>
  </si>
  <si>
    <t>86-86/001-86/001/028/2015-665/1</t>
  </si>
  <si>
    <t>86:02:0000000:6809</t>
  </si>
  <si>
    <t>86-86/001-86/001/028/2015-676/1</t>
  </si>
  <si>
    <t>86:02:0100000:6822</t>
  </si>
  <si>
    <t>86-86/001-86/001/012/2015-820/1</t>
  </si>
  <si>
    <t>86:02:0000000:6842</t>
  </si>
  <si>
    <t>86-86/001-86/001/028/2015-768/1</t>
  </si>
  <si>
    <t>86:02:0000000:6838</t>
  </si>
  <si>
    <t>86-86/001-86/001/028/2015-674/1</t>
  </si>
  <si>
    <t>1.080.1.0574</t>
  </si>
  <si>
    <t>ул.Гагарина д.28 кв.14 п.Луговской</t>
  </si>
  <si>
    <t>86:02:0704001:1585</t>
  </si>
  <si>
    <t>86:02:0704001:1585-86/041/ 2020-7</t>
  </si>
  <si>
    <t>Договор безвозмездной передачи имущества от 01.09.2020 №5/2020</t>
  </si>
  <si>
    <t>1.080.0.0575</t>
  </si>
  <si>
    <t>ул.Рабочая д.1 кв.2 п.Луговской</t>
  </si>
  <si>
    <t>86:02:0704001:1562</t>
  </si>
  <si>
    <t>86:02:0704001:1562-86/041/2020-3</t>
  </si>
  <si>
    <t>Договор безвозмездной передачи имущества от 01.04.2020 №1/2020</t>
  </si>
  <si>
    <t>дороги местного значения ул.Лесная д.Ягурьях</t>
  </si>
  <si>
    <t>86:02:0901001:478</t>
  </si>
  <si>
    <t>ХМРН, д.Ягурьях</t>
  </si>
  <si>
    <t>86:02:0901001:478-86/041/2020-3</t>
  </si>
  <si>
    <t>Решение Ханты-Мансийскиого суда  от 07.05.2020</t>
  </si>
  <si>
    <t>1.080.1.0576</t>
  </si>
  <si>
    <t>1.080.1.0577</t>
  </si>
  <si>
    <t>дороги местного значения ул.Центральная .Ягурьях</t>
  </si>
  <si>
    <t>86:02:0901001:479</t>
  </si>
  <si>
    <t>1.080.1.0578</t>
  </si>
  <si>
    <t>дороги местного значения ул.Таежная.Ягурьях</t>
  </si>
  <si>
    <t>86:02:0901001:477</t>
  </si>
  <si>
    <t>86:02:0901001:479-86 /041/2020-3</t>
  </si>
  <si>
    <t>86:02:0901001:477-86 /041/2020-3</t>
  </si>
  <si>
    <t>1.013.4.0245</t>
  </si>
  <si>
    <t>персональный компьютер Arcer Aspire ТС-390 (W10Pro)</t>
  </si>
  <si>
    <t>1.013.4.0246</t>
  </si>
  <si>
    <t>1.013.4.0247</t>
  </si>
  <si>
    <t>ИТОГО:</t>
  </si>
  <si>
    <t xml:space="preserve">Договор безвозмездной передачи имущества от 24.02.2021 № 7/02/21 </t>
  </si>
  <si>
    <t>1.080.1.0580</t>
  </si>
  <si>
    <t>ул.Ленина д.70 кв.2 п.Луговской</t>
  </si>
  <si>
    <t>86:02:0704002:1075</t>
  </si>
  <si>
    <t>86:02:0704002:1075-86/ 041/ 2021-5</t>
  </si>
  <si>
    <t>1.080.1.0581</t>
  </si>
  <si>
    <t>ул.Ленина д.70 кв.3 п.Луговской</t>
  </si>
  <si>
    <t>86:02:0704002:1076</t>
  </si>
  <si>
    <t>86:02:0704002:1076-86/ 041/ 2021-5</t>
  </si>
  <si>
    <t>1.080.1.0582</t>
  </si>
  <si>
    <t>ул.Ленина д.70 кв.4 п.Луговской</t>
  </si>
  <si>
    <t>86:02:0704002:1077</t>
  </si>
  <si>
    <t>86:02:0704002:1077-86/ 041/ 2021-5</t>
  </si>
  <si>
    <t>1.080.1.0583</t>
  </si>
  <si>
    <t>ул.Ленина д.70 кв.5 п.Луговской</t>
  </si>
  <si>
    <t>86:02:0704002:1078</t>
  </si>
  <si>
    <t>86:02:0704002:1078-86/ 041/ 2021-5</t>
  </si>
  <si>
    <t>1.080.1.0586</t>
  </si>
  <si>
    <t>86:02:0704002:1081</t>
  </si>
  <si>
    <t>86:02:0704002:1081-86/ 041/ 2021-5</t>
  </si>
  <si>
    <t>ул.Ленина д.70 кв.8 п.Луговской</t>
  </si>
  <si>
    <t>1.080.1.0589</t>
  </si>
  <si>
    <t>ул.Ленина д.70 кв.11 п.Луговской</t>
  </si>
  <si>
    <t>86:02:0704002:1066</t>
  </si>
  <si>
    <t>86:02:0704002:1066-86/ 041/ 2021-5</t>
  </si>
  <si>
    <t>1.080.1.0590</t>
  </si>
  <si>
    <t>ул.Ленина д.70 кв.12 п.Луговской</t>
  </si>
  <si>
    <t>86:02:0704002:1067</t>
  </si>
  <si>
    <t>86:02:0704002:1067-86/ 041/ 2021-5</t>
  </si>
  <si>
    <t>1.080.1.0591</t>
  </si>
  <si>
    <t>ул.Ленина д.70 кв.13 п.Луговской</t>
  </si>
  <si>
    <t>86:02:0704002:1068</t>
  </si>
  <si>
    <t>86:02:0704002:1068-86/ 041/ 2021-5</t>
  </si>
  <si>
    <t>1.080.1.0592</t>
  </si>
  <si>
    <t>ул.Ленина д.70 кв.14 п.Луговской</t>
  </si>
  <si>
    <t>86:02:0704002:1069</t>
  </si>
  <si>
    <t>86:02:0704002:1069-86/ 041/ 2021-5</t>
  </si>
  <si>
    <t>1.080.1.0594</t>
  </si>
  <si>
    <t>ул.Ленина д.70 кв.16 п.Луговской</t>
  </si>
  <si>
    <t>86:02:0704002:1071</t>
  </si>
  <si>
    <t>86:02:0704002:1071-86/ 041/ 2021-5</t>
  </si>
  <si>
    <t>1.013.4.0248</t>
  </si>
  <si>
    <t>персональный компьютер (Mid-Tower, Intel Pentium Gold G 6400, Intel UHD Graphics 610)</t>
  </si>
  <si>
    <t>1.085.5.0055</t>
  </si>
  <si>
    <t>86:02:0704002:674</t>
  </si>
  <si>
    <t>86:02:0704002:674-86/041/2018-2</t>
  </si>
  <si>
    <t>Договор безвозмездной передачи жилой квартиры с земельным участком от 17.09.2018 №2/2018</t>
  </si>
  <si>
    <t>1.013.8.0094</t>
  </si>
  <si>
    <t>железный забор (район ул.Центральная здание 38, ограждение 52 п.м.) с.Троица</t>
  </si>
  <si>
    <t>1.013.8.0095</t>
  </si>
  <si>
    <t>железный забор (район ул.Дурицына здание 13, ограждение 52 п.м.) п.Кирпичный</t>
  </si>
  <si>
    <t>1.013.8.0096</t>
  </si>
  <si>
    <t>уличный стенд КТ4 150*90</t>
  </si>
  <si>
    <t>1.080.0.0065</t>
  </si>
  <si>
    <t>ул.Заводская д.1 кв.4 п.Луговской     ( мена)</t>
  </si>
  <si>
    <t>86:02:0704001:1043</t>
  </si>
  <si>
    <t>86:02:0704001:1043-86/041/2021-2</t>
  </si>
  <si>
    <t>1.080.0.0066</t>
  </si>
  <si>
    <t>ул.Гагарина д.21 кв.3 п.Луговской (мена)</t>
  </si>
  <si>
    <t>86:02:0704001:1087</t>
  </si>
  <si>
    <t>86:02:0704001:1087-86/041/2021-2</t>
  </si>
  <si>
    <t>Договор мены  №02/2021 от 11.03.2021 г</t>
  </si>
  <si>
    <t>Договор мены №01/2021  от 11.03.2021</t>
  </si>
  <si>
    <t>1.080.1.0596</t>
  </si>
  <si>
    <t>ул.Гагарина д.21 кв.8 п.Луговской</t>
  </si>
  <si>
    <t>86:02:0000000:5605</t>
  </si>
  <si>
    <t>86:02:0000000:5605-86/041/2021-13</t>
  </si>
  <si>
    <t>Договор выкупа жилого помещения (квартиры) №1/2021 от 12.07.2021</t>
  </si>
  <si>
    <t>1.080.0.0067</t>
  </si>
  <si>
    <t>ул.Комсомольская д.7 кв.12 п.Луговской (мена)</t>
  </si>
  <si>
    <t>86:00:0000000:5652</t>
  </si>
  <si>
    <t>86:00:0000000:5652-86/041/2021-2</t>
  </si>
  <si>
    <t>Договор безвозмездной передачи квартиры в собственность СП Луговской № 1/2021 от 21.01.2021</t>
  </si>
  <si>
    <t>1.080.0.0068</t>
  </si>
  <si>
    <t>ул.Мира д.19  с.Троица</t>
  </si>
  <si>
    <t>86:02:0000000:5898</t>
  </si>
  <si>
    <t>86:02:0000000:5898-86/041/2021-2</t>
  </si>
  <si>
    <t xml:space="preserve">Договор безвозмездной передачи жилого дома с зем участком  №5 от 19.10.2020 </t>
  </si>
  <si>
    <t>1.085.5.0069</t>
  </si>
  <si>
    <t>86:02:0703001:160</t>
  </si>
  <si>
    <t>86:02:0703001:160-86/041 / 2021-2</t>
  </si>
  <si>
    <t>Договор безвозмездной передачи жилой квартиры с земельным участком  №5 от 19.10.2020</t>
  </si>
  <si>
    <t>1.085.5.0070</t>
  </si>
  <si>
    <t>57506+/-166</t>
  </si>
  <si>
    <t>86:02:0000000:8574</t>
  </si>
  <si>
    <t>земельный участок (улично-дорожная сеть)</t>
  </si>
  <si>
    <t>собственность</t>
  </si>
  <si>
    <t>1.085.5.0071</t>
  </si>
  <si>
    <t>43371+/-135</t>
  </si>
  <si>
    <t>86:02:0000000:569</t>
  </si>
  <si>
    <t>ХМРН д.Белогорье</t>
  </si>
  <si>
    <t>86:02:0000000:8574-86/041/ 2021-1</t>
  </si>
  <si>
    <t>86:02:0705001:569-86/041/ 2021-1</t>
  </si>
  <si>
    <t>1.080.2.0323</t>
  </si>
  <si>
    <t>бензиновый опрыскиватель STIHL SR 450</t>
  </si>
  <si>
    <t>Приказ ДИЗО №698-п от 26.07.2021</t>
  </si>
  <si>
    <t>1.080.1.0599</t>
  </si>
  <si>
    <t>обелиск с огражением с.Троица</t>
  </si>
  <si>
    <t>Распоряжение  постановке  на баланс №177-о от 29.11.2021 (передача из МБУК "Дружба")</t>
  </si>
  <si>
    <t>1.080.1.0600</t>
  </si>
  <si>
    <t>металлический забор (у обелиска) п.Луговской р-н ул.Заводская)</t>
  </si>
  <si>
    <t>1.080.1.0601</t>
  </si>
  <si>
    <t>мемориальный комплекс  участникам ВОВ д.Белогорье</t>
  </si>
  <si>
    <t>1.080.1.0602</t>
  </si>
  <si>
    <t>мемориальный комплекс  участникам ВОВ п.Кирпичный</t>
  </si>
  <si>
    <t>1.013.4.0251</t>
  </si>
  <si>
    <t>комплект для монтажа системы видеонаблюдения (видеокамера, микрофон, видеорегистратор, видеомонитор,кабель)</t>
  </si>
  <si>
    <t>1.013.4.0250</t>
  </si>
  <si>
    <t>снегоуборочная машина RedVerg RD-SB56/7E</t>
  </si>
  <si>
    <t>1.013.5.0021</t>
  </si>
  <si>
    <t>автомобиль УАЗ 3163-485-54 Патриот</t>
  </si>
  <si>
    <t>31.03.2022 г</t>
  </si>
  <si>
    <t>1.013.4.0252</t>
  </si>
  <si>
    <t>персональный компьютер (Mini-Tower, Intel Pentium Core i3-10105 4*3,7 ГГЦ  Windows10)</t>
  </si>
  <si>
    <t>1.085.5.0074</t>
  </si>
  <si>
    <t xml:space="preserve">земельный участок ул.Комсомольская д.3 п.Луговской </t>
  </si>
  <si>
    <t>317+/-10</t>
  </si>
  <si>
    <t>86:02:0704001:419</t>
  </si>
  <si>
    <t xml:space="preserve">земельный участок ул.Комсомольская д.5Б (гараж) п.Луговской </t>
  </si>
  <si>
    <t>4805+/-14</t>
  </si>
  <si>
    <t>86:02:0704001:1564</t>
  </si>
  <si>
    <t>86:02:0704001:419-86/041/ 2021-1</t>
  </si>
  <si>
    <t>86:02:0704001:1564-86/041/ 2022-1</t>
  </si>
  <si>
    <t>1.085.5.0075</t>
  </si>
  <si>
    <t>1.085.5.0076</t>
  </si>
  <si>
    <t xml:space="preserve">земельный участок (ЛЭП Луговской) п.Луговской </t>
  </si>
  <si>
    <t>13145+/-8</t>
  </si>
  <si>
    <t>86:02:0000000:8620</t>
  </si>
  <si>
    <t>86:02:0000000:8620-86/041/ 2021-1</t>
  </si>
  <si>
    <t>земельный участок (ЛЭП Кирпичный) п.Кирпичный</t>
  </si>
  <si>
    <t>10135+/-7</t>
  </si>
  <si>
    <t>86:02:0501001:1510</t>
  </si>
  <si>
    <t>86:02:0501001:1510-86/041/ 2021-1</t>
  </si>
  <si>
    <t>1.085.5.0077</t>
  </si>
  <si>
    <t>1.085.5.0078</t>
  </si>
  <si>
    <t>земельный участок (улично-дорожная сеть) п.Кирпичный</t>
  </si>
  <si>
    <t>179780+/-195</t>
  </si>
  <si>
    <t>86:02:0000000:8619</t>
  </si>
  <si>
    <t>86:02:0000000:8619-86/041/ 2021-1</t>
  </si>
  <si>
    <t>1.085.5.0079</t>
  </si>
  <si>
    <t>земельный участок (улично-дорожная сеть) с.Троица</t>
  </si>
  <si>
    <t>1080190+/-104</t>
  </si>
  <si>
    <t>86:02:0703001:768</t>
  </si>
  <si>
    <t>86:02:0703001:768-86/041/ 2021-1</t>
  </si>
  <si>
    <t>ул.Гагарина д.28 кв.15 п.Луговской</t>
  </si>
  <si>
    <t>86:02:0704001:1586</t>
  </si>
  <si>
    <t>86:02:0704001:1586-86/041/ 2021-8</t>
  </si>
  <si>
    <t>Договор безвозмездной передачи имущества от 02.12.2021 №2/2021</t>
  </si>
  <si>
    <t>ул.Гагарина д.28 кв.16 п.Луговской</t>
  </si>
  <si>
    <t>86:02:0704001:1587</t>
  </si>
  <si>
    <t>86:02:0704001:1587-86/001/ 2017-2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</si>
</sst>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0000000"/>
    <numFmt numFmtId="171" formatCode="000000000000"/>
    <numFmt numFmtId="172" formatCode="000000000"/>
    <numFmt numFmtId="173" formatCode="0000000000"/>
    <numFmt numFmtId="174" formatCode="00000000000"/>
    <numFmt numFmtId="175" formatCode="0000000"/>
    <numFmt numFmtId="176" formatCode="0000"/>
    <numFmt numFmtId="177" formatCode="0.000"/>
    <numFmt numFmtId="178" formatCode="000000"/>
    <numFmt numFmtId="179" formatCode="000000000000000"/>
    <numFmt numFmtId="180" formatCode="0000000000000"/>
    <numFmt numFmtId="181" formatCode="000"/>
    <numFmt numFmtId="182" formatCode="00"/>
    <numFmt numFmtId="183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color indexed="8"/>
      <name val="Tahoma"/>
      <family val="2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NumberForma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2" fillId="33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47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vertical="center" wrapText="1"/>
    </xf>
    <xf numFmtId="0" fontId="4" fillId="33" borderId="0" xfId="0" applyNumberFormat="1" applyFont="1" applyFill="1" applyBorder="1" applyAlignment="1">
      <alignment vertical="top" wrapText="1"/>
    </xf>
    <xf numFmtId="0" fontId="47" fillId="0" borderId="10" xfId="0" applyFont="1" applyBorder="1" applyAlignment="1">
      <alignment/>
    </xf>
    <xf numFmtId="0" fontId="7" fillId="34" borderId="11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6" fillId="0" borderId="10" xfId="52" applyFont="1" applyBorder="1" applyAlignment="1">
      <alignment horizontal="left" vertical="top" wrapText="1"/>
      <protection/>
    </xf>
    <xf numFmtId="0" fontId="47" fillId="0" borderId="10" xfId="0" applyFont="1" applyBorder="1" applyAlignment="1">
      <alignment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47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0" fontId="6" fillId="34" borderId="12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vertical="top" wrapText="1"/>
    </xf>
    <xf numFmtId="0" fontId="47" fillId="0" borderId="12" xfId="0" applyFont="1" applyBorder="1" applyAlignment="1">
      <alignment/>
    </xf>
    <xf numFmtId="0" fontId="5" fillId="33" borderId="10" xfId="0" applyNumberFormat="1" applyFont="1" applyFill="1" applyBorder="1" applyAlignment="1">
      <alignment horizontal="left" vertical="top" wrapText="1"/>
    </xf>
    <xf numFmtId="14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4" fillId="33" borderId="13" xfId="0" applyNumberFormat="1" applyFont="1" applyFill="1" applyBorder="1" applyAlignment="1">
      <alignment vertical="top" wrapText="1"/>
    </xf>
    <xf numFmtId="0" fontId="47" fillId="0" borderId="10" xfId="0" applyFont="1" applyBorder="1" applyAlignment="1">
      <alignment vertical="top"/>
    </xf>
    <xf numFmtId="0" fontId="47" fillId="0" borderId="10" xfId="0" applyFont="1" applyBorder="1" applyAlignment="1">
      <alignment vertical="top" wrapText="1"/>
    </xf>
    <xf numFmtId="14" fontId="47" fillId="0" borderId="10" xfId="0" applyNumberFormat="1" applyFont="1" applyBorder="1" applyAlignment="1">
      <alignment vertical="top"/>
    </xf>
    <xf numFmtId="4" fontId="5" fillId="33" borderId="14" xfId="0" applyNumberFormat="1" applyFont="1" applyFill="1" applyBorder="1" applyAlignment="1">
      <alignment horizontal="right" vertical="top" wrapText="1"/>
    </xf>
    <xf numFmtId="0" fontId="47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Alignment="1">
      <alignment vertical="top"/>
    </xf>
    <xf numFmtId="0" fontId="5" fillId="0" borderId="10" xfId="0" applyNumberFormat="1" applyFont="1" applyFill="1" applyBorder="1" applyAlignment="1">
      <alignment horizontal="center" vertical="top" wrapText="1"/>
    </xf>
    <xf numFmtId="14" fontId="5" fillId="33" borderId="10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/>
    </xf>
    <xf numFmtId="0" fontId="47" fillId="0" borderId="14" xfId="0" applyFont="1" applyBorder="1" applyAlignment="1">
      <alignment/>
    </xf>
    <xf numFmtId="0" fontId="6" fillId="34" borderId="11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vertical="center" wrapText="1"/>
    </xf>
    <xf numFmtId="2" fontId="48" fillId="0" borderId="0" xfId="0" applyNumberFormat="1" applyFont="1" applyAlignment="1">
      <alignment/>
    </xf>
    <xf numFmtId="3" fontId="8" fillId="34" borderId="13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7" fillId="0" borderId="15" xfId="0" applyFont="1" applyBorder="1" applyAlignment="1">
      <alignment/>
    </xf>
    <xf numFmtId="0" fontId="6" fillId="0" borderId="10" xfId="0" applyFont="1" applyBorder="1" applyAlignment="1">
      <alignment/>
    </xf>
    <xf numFmtId="4" fontId="47" fillId="0" borderId="0" xfId="0" applyNumberFormat="1" applyFont="1" applyAlignment="1">
      <alignment/>
    </xf>
    <xf numFmtId="4" fontId="47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47" fillId="34" borderId="10" xfId="0" applyFont="1" applyFill="1" applyBorder="1" applyAlignment="1">
      <alignment/>
    </xf>
    <xf numFmtId="0" fontId="47" fillId="34" borderId="14" xfId="0" applyFont="1" applyFill="1" applyBorder="1" applyAlignment="1">
      <alignment/>
    </xf>
    <xf numFmtId="0" fontId="45" fillId="0" borderId="10" xfId="0" applyFont="1" applyBorder="1" applyAlignment="1">
      <alignment/>
    </xf>
    <xf numFmtId="3" fontId="48" fillId="0" borderId="10" xfId="0" applyNumberFormat="1" applyFont="1" applyBorder="1" applyAlignment="1">
      <alignment/>
    </xf>
    <xf numFmtId="0" fontId="4" fillId="33" borderId="13" xfId="0" applyNumberFormat="1" applyFont="1" applyFill="1" applyBorder="1" applyAlignment="1">
      <alignment horizontal="center" vertical="top" wrapText="1"/>
    </xf>
    <xf numFmtId="0" fontId="4" fillId="33" borderId="16" xfId="0" applyNumberFormat="1" applyFont="1" applyFill="1" applyBorder="1" applyAlignment="1">
      <alignment horizontal="center" vertical="top" wrapText="1"/>
    </xf>
    <xf numFmtId="0" fontId="4" fillId="33" borderId="0" xfId="0" applyNumberFormat="1" applyFont="1" applyFill="1" applyBorder="1" applyAlignment="1">
      <alignment horizontal="center" vertical="top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vertical="top" wrapText="1"/>
    </xf>
    <xf numFmtId="0" fontId="4" fillId="33" borderId="12" xfId="0" applyNumberFormat="1" applyFont="1" applyFill="1" applyBorder="1" applyAlignment="1">
      <alignment vertical="top" wrapText="1"/>
    </xf>
    <xf numFmtId="0" fontId="4" fillId="33" borderId="14" xfId="0" applyNumberFormat="1" applyFont="1" applyFill="1" applyBorder="1" applyAlignment="1">
      <alignment vertical="top" wrapText="1"/>
    </xf>
    <xf numFmtId="0" fontId="44" fillId="0" borderId="18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7" fillId="0" borderId="18" xfId="0" applyFont="1" applyBorder="1" applyAlignment="1">
      <alignment horizontal="right"/>
    </xf>
    <xf numFmtId="0" fontId="47" fillId="0" borderId="12" xfId="0" applyFont="1" applyBorder="1" applyAlignment="1">
      <alignment horizontal="right"/>
    </xf>
    <xf numFmtId="0" fontId="6" fillId="34" borderId="15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/>
    </xf>
    <xf numFmtId="4" fontId="8" fillId="0" borderId="13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/>
    </xf>
    <xf numFmtId="4" fontId="4" fillId="0" borderId="19" xfId="0" applyNumberFormat="1" applyFont="1" applyFill="1" applyBorder="1" applyAlignment="1">
      <alignment vertical="top" wrapText="1"/>
    </xf>
    <xf numFmtId="2" fontId="47" fillId="0" borderId="10" xfId="0" applyNumberFormat="1" applyFont="1" applyFill="1" applyBorder="1" applyAlignment="1">
      <alignment/>
    </xf>
    <xf numFmtId="4" fontId="47" fillId="0" borderId="10" xfId="0" applyNumberFormat="1" applyFont="1" applyFill="1" applyBorder="1" applyAlignment="1">
      <alignment/>
    </xf>
    <xf numFmtId="2" fontId="47" fillId="0" borderId="10" xfId="0" applyNumberFormat="1" applyFont="1" applyFill="1" applyBorder="1" applyAlignment="1">
      <alignment vertical="top"/>
    </xf>
    <xf numFmtId="2" fontId="48" fillId="0" borderId="0" xfId="0" applyNumberFormat="1" applyFont="1" applyFill="1" applyAlignment="1">
      <alignment/>
    </xf>
    <xf numFmtId="0" fontId="4" fillId="0" borderId="14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47" fillId="0" borderId="0" xfId="0" applyNumberFormat="1" applyFont="1" applyFill="1" applyAlignment="1">
      <alignment/>
    </xf>
    <xf numFmtId="4" fontId="5" fillId="0" borderId="14" xfId="0" applyNumberFormat="1" applyFont="1" applyFill="1" applyBorder="1" applyAlignment="1">
      <alignment horizontal="right" vertical="top" wrapText="1"/>
    </xf>
    <xf numFmtId="4" fontId="47" fillId="0" borderId="14" xfId="0" applyNumberFormat="1" applyFont="1" applyFill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1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456" sqref="C456"/>
    </sheetView>
  </sheetViews>
  <sheetFormatPr defaultColWidth="9.140625" defaultRowHeight="15"/>
  <cols>
    <col min="1" max="1" width="5.7109375" style="7" customWidth="1"/>
    <col min="2" max="2" width="12.00390625" style="7" customWidth="1"/>
    <col min="3" max="3" width="13.28125" style="33" customWidth="1"/>
    <col min="4" max="4" width="36.57421875" style="7" customWidth="1"/>
    <col min="5" max="5" width="9.140625" style="7" customWidth="1"/>
    <col min="6" max="6" width="13.28125" style="7" customWidth="1"/>
    <col min="7" max="7" width="19.7109375" style="7" customWidth="1"/>
    <col min="8" max="8" width="9.140625" style="7" customWidth="1"/>
    <col min="9" max="9" width="11.140625" style="7" customWidth="1"/>
    <col min="10" max="10" width="21.57421875" style="7" customWidth="1"/>
    <col min="11" max="11" width="15.00390625" style="7" customWidth="1"/>
    <col min="12" max="12" width="14.28125" style="7" customWidth="1"/>
    <col min="13" max="13" width="18.57421875" style="7" customWidth="1"/>
    <col min="14" max="14" width="34.140625" style="7" customWidth="1"/>
    <col min="15" max="15" width="9.140625" style="7" customWidth="1"/>
    <col min="16" max="16" width="16.8515625" style="33" customWidth="1"/>
    <col min="17" max="17" width="9.140625" style="7" customWidth="1"/>
    <col min="18" max="18" width="13.7109375" style="0" customWidth="1"/>
  </cols>
  <sheetData>
    <row r="1" spans="4:8" ht="15.75">
      <c r="D1" s="1" t="s">
        <v>18</v>
      </c>
      <c r="E1" s="1"/>
      <c r="F1" s="1"/>
      <c r="G1" s="1"/>
      <c r="H1" s="1"/>
    </row>
    <row r="2" spans="4:8" ht="15.75">
      <c r="D2" s="1"/>
      <c r="E2" s="1" t="s">
        <v>19</v>
      </c>
      <c r="F2" s="1" t="s">
        <v>2589</v>
      </c>
      <c r="G2" s="1"/>
      <c r="H2" s="1"/>
    </row>
    <row r="4" spans="1:16" ht="26.25" customHeight="1">
      <c r="A4" s="58" t="s">
        <v>2</v>
      </c>
      <c r="B4" s="58" t="s">
        <v>3</v>
      </c>
      <c r="C4" s="65" t="s">
        <v>4</v>
      </c>
      <c r="D4" s="58" t="s">
        <v>5</v>
      </c>
      <c r="E4" s="61" t="s">
        <v>6</v>
      </c>
      <c r="F4" s="62"/>
      <c r="G4" s="62"/>
      <c r="H4" s="62"/>
      <c r="I4" s="62"/>
      <c r="J4" s="63"/>
      <c r="K4" s="61" t="s">
        <v>7</v>
      </c>
      <c r="L4" s="63"/>
      <c r="M4" s="58" t="s">
        <v>8</v>
      </c>
      <c r="N4" s="58" t="s">
        <v>9</v>
      </c>
      <c r="O4" s="58" t="s">
        <v>0</v>
      </c>
      <c r="P4" s="65" t="s">
        <v>1</v>
      </c>
    </row>
    <row r="5" spans="1:16" ht="60">
      <c r="A5" s="59"/>
      <c r="B5" s="59"/>
      <c r="C5" s="66"/>
      <c r="D5" s="59"/>
      <c r="E5" s="12" t="s">
        <v>10</v>
      </c>
      <c r="F5" s="13" t="s">
        <v>11</v>
      </c>
      <c r="G5" s="12" t="s">
        <v>12</v>
      </c>
      <c r="H5" s="13" t="s">
        <v>13</v>
      </c>
      <c r="I5" s="12" t="s">
        <v>14</v>
      </c>
      <c r="J5" s="13" t="s">
        <v>15</v>
      </c>
      <c r="K5" s="12" t="s">
        <v>16</v>
      </c>
      <c r="L5" s="13" t="s">
        <v>17</v>
      </c>
      <c r="M5" s="59"/>
      <c r="N5" s="59"/>
      <c r="O5" s="59"/>
      <c r="P5" s="66"/>
    </row>
    <row r="6" spans="1:16" ht="31.5" customHeight="1">
      <c r="A6" s="8"/>
      <c r="B6" s="8"/>
      <c r="C6" s="60" t="s">
        <v>1942</v>
      </c>
      <c r="D6" s="60"/>
      <c r="E6" s="9"/>
      <c r="F6" s="9"/>
      <c r="G6" s="9"/>
      <c r="H6" s="9"/>
      <c r="I6" s="9"/>
      <c r="J6" s="9"/>
      <c r="K6" s="9"/>
      <c r="L6" s="9"/>
      <c r="M6" s="8"/>
      <c r="N6" s="8"/>
      <c r="O6" s="44">
        <f>O7+O123</f>
        <v>701</v>
      </c>
      <c r="P6" s="81">
        <f>P7+P123</f>
        <v>696263208.5500002</v>
      </c>
    </row>
    <row r="7" spans="1:16" ht="17.25" customHeight="1">
      <c r="A7" s="64" t="s">
        <v>20</v>
      </c>
      <c r="B7" s="64"/>
      <c r="C7" s="64"/>
      <c r="D7" s="64"/>
      <c r="E7" s="21"/>
      <c r="F7" s="21"/>
      <c r="G7" s="21"/>
      <c r="H7" s="21"/>
      <c r="I7" s="21"/>
      <c r="J7" s="21"/>
      <c r="K7" s="21"/>
      <c r="L7" s="21"/>
      <c r="M7" s="22"/>
      <c r="N7" s="22"/>
      <c r="O7" s="54">
        <f>O58+O65+O93+O122</f>
        <v>114</v>
      </c>
      <c r="P7" s="82">
        <f>P58+P65+P93+P122</f>
        <v>7269327.279999999</v>
      </c>
    </row>
    <row r="8" spans="1:32" ht="15" customHeight="1">
      <c r="A8" s="55" t="s">
        <v>143</v>
      </c>
      <c r="B8" s="55"/>
      <c r="C8" s="55"/>
      <c r="D8" s="55"/>
      <c r="E8" s="10"/>
      <c r="F8" s="10"/>
      <c r="G8" s="10"/>
      <c r="H8" s="10"/>
      <c r="I8" s="10"/>
      <c r="J8" s="10"/>
      <c r="K8" s="10"/>
      <c r="L8" s="10"/>
      <c r="M8" s="10"/>
      <c r="N8" s="10"/>
      <c r="O8" s="28"/>
      <c r="P8" s="39"/>
      <c r="Q8" s="10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2"/>
    </row>
    <row r="9" spans="1:17" s="4" customFormat="1" ht="35.25" customHeight="1">
      <c r="A9" s="11">
        <v>1</v>
      </c>
      <c r="B9" s="11"/>
      <c r="C9" s="34" t="s">
        <v>24</v>
      </c>
      <c r="D9" s="15" t="s">
        <v>21</v>
      </c>
      <c r="E9" s="29"/>
      <c r="F9" s="29"/>
      <c r="G9" s="29"/>
      <c r="H9" s="29"/>
      <c r="I9" s="29"/>
      <c r="J9" s="16" t="s">
        <v>1324</v>
      </c>
      <c r="K9" s="29"/>
      <c r="L9" s="29"/>
      <c r="M9" s="30" t="s">
        <v>30</v>
      </c>
      <c r="N9" s="14" t="s">
        <v>27</v>
      </c>
      <c r="O9" s="29">
        <v>1</v>
      </c>
      <c r="P9" s="79">
        <f>10990</f>
        <v>10990</v>
      </c>
      <c r="Q9" s="7"/>
    </row>
    <row r="10" spans="1:17" s="4" customFormat="1" ht="33.75" customHeight="1">
      <c r="A10" s="11">
        <v>2</v>
      </c>
      <c r="B10" s="11"/>
      <c r="C10" s="34" t="s">
        <v>25</v>
      </c>
      <c r="D10" s="15" t="s">
        <v>22</v>
      </c>
      <c r="E10" s="29"/>
      <c r="F10" s="29"/>
      <c r="G10" s="29"/>
      <c r="H10" s="29"/>
      <c r="I10" s="29"/>
      <c r="J10" s="16" t="s">
        <v>1324</v>
      </c>
      <c r="K10" s="29"/>
      <c r="L10" s="29"/>
      <c r="M10" s="30" t="s">
        <v>30</v>
      </c>
      <c r="N10" s="14" t="s">
        <v>28</v>
      </c>
      <c r="O10" s="29">
        <v>1</v>
      </c>
      <c r="P10" s="79">
        <f>26104</f>
        <v>26104</v>
      </c>
      <c r="Q10" s="7"/>
    </row>
    <row r="11" spans="1:17" s="4" customFormat="1" ht="31.5" customHeight="1">
      <c r="A11" s="39">
        <v>3</v>
      </c>
      <c r="B11" s="11"/>
      <c r="C11" s="34" t="s">
        <v>26</v>
      </c>
      <c r="D11" s="15" t="s">
        <v>23</v>
      </c>
      <c r="E11" s="29"/>
      <c r="F11" s="29"/>
      <c r="G11" s="29"/>
      <c r="H11" s="29"/>
      <c r="I11" s="29"/>
      <c r="J11" s="16" t="s">
        <v>1324</v>
      </c>
      <c r="K11" s="29"/>
      <c r="L11" s="29"/>
      <c r="M11" s="30" t="s">
        <v>30</v>
      </c>
      <c r="N11" s="14" t="s">
        <v>29</v>
      </c>
      <c r="O11" s="29">
        <v>1</v>
      </c>
      <c r="P11" s="79">
        <f>24908</f>
        <v>24908</v>
      </c>
      <c r="Q11" s="7"/>
    </row>
    <row r="12" spans="1:17" s="3" customFormat="1" ht="34.5" customHeight="1">
      <c r="A12" s="53">
        <v>4</v>
      </c>
      <c r="B12" s="11"/>
      <c r="C12" s="34" t="s">
        <v>32</v>
      </c>
      <c r="D12" s="15" t="s">
        <v>31</v>
      </c>
      <c r="E12" s="29"/>
      <c r="F12" s="29"/>
      <c r="G12" s="29"/>
      <c r="H12" s="29"/>
      <c r="I12" s="29"/>
      <c r="J12" s="16" t="s">
        <v>1324</v>
      </c>
      <c r="K12" s="29"/>
      <c r="L12" s="29"/>
      <c r="M12" s="29" t="s">
        <v>1931</v>
      </c>
      <c r="N12" s="14" t="s">
        <v>33</v>
      </c>
      <c r="O12" s="29">
        <v>1</v>
      </c>
      <c r="P12" s="79">
        <f>25828</f>
        <v>25828</v>
      </c>
      <c r="Q12" s="7"/>
    </row>
    <row r="13" spans="1:17" s="3" customFormat="1" ht="34.5" customHeight="1">
      <c r="A13" s="11">
        <v>5</v>
      </c>
      <c r="B13" s="11"/>
      <c r="C13" s="34" t="s">
        <v>35</v>
      </c>
      <c r="D13" s="15" t="s">
        <v>34</v>
      </c>
      <c r="E13" s="29"/>
      <c r="F13" s="29"/>
      <c r="G13" s="29"/>
      <c r="H13" s="29"/>
      <c r="I13" s="29"/>
      <c r="J13" s="30" t="s">
        <v>1325</v>
      </c>
      <c r="K13" s="29"/>
      <c r="L13" s="29"/>
      <c r="M13" s="30" t="s">
        <v>30</v>
      </c>
      <c r="N13" s="14" t="s">
        <v>37</v>
      </c>
      <c r="O13" s="29">
        <v>1</v>
      </c>
      <c r="P13" s="79">
        <f>24300</f>
        <v>24300</v>
      </c>
      <c r="Q13" s="7"/>
    </row>
    <row r="14" spans="1:17" s="3" customFormat="1" ht="34.5" customHeight="1">
      <c r="A14" s="11">
        <v>6</v>
      </c>
      <c r="B14" s="11"/>
      <c r="C14" s="34" t="s">
        <v>36</v>
      </c>
      <c r="D14" s="15" t="s">
        <v>23</v>
      </c>
      <c r="E14" s="29"/>
      <c r="F14" s="29"/>
      <c r="G14" s="29"/>
      <c r="H14" s="29"/>
      <c r="I14" s="29"/>
      <c r="J14" s="30" t="s">
        <v>1325</v>
      </c>
      <c r="K14" s="29"/>
      <c r="L14" s="29"/>
      <c r="M14" s="30" t="s">
        <v>30</v>
      </c>
      <c r="N14" s="14" t="s">
        <v>29</v>
      </c>
      <c r="O14" s="29">
        <v>1</v>
      </c>
      <c r="P14" s="79">
        <f>24908</f>
        <v>24908</v>
      </c>
      <c r="Q14" s="7"/>
    </row>
    <row r="15" spans="1:16" ht="34.5" customHeight="1">
      <c r="A15" s="11">
        <v>7</v>
      </c>
      <c r="B15" s="11"/>
      <c r="C15" s="34" t="s">
        <v>40</v>
      </c>
      <c r="D15" s="15" t="s">
        <v>38</v>
      </c>
      <c r="E15" s="29"/>
      <c r="F15" s="29"/>
      <c r="G15" s="29"/>
      <c r="H15" s="29"/>
      <c r="I15" s="29"/>
      <c r="J15" s="30" t="s">
        <v>1326</v>
      </c>
      <c r="K15" s="29"/>
      <c r="L15" s="29"/>
      <c r="M15" s="30" t="s">
        <v>30</v>
      </c>
      <c r="N15" s="14" t="s">
        <v>41</v>
      </c>
      <c r="O15" s="29">
        <v>1</v>
      </c>
      <c r="P15" s="79">
        <f>19032</f>
        <v>19032</v>
      </c>
    </row>
    <row r="16" spans="1:16" ht="34.5" customHeight="1">
      <c r="A16" s="11">
        <v>8</v>
      </c>
      <c r="B16" s="11"/>
      <c r="C16" s="34" t="s">
        <v>39</v>
      </c>
      <c r="D16" s="15" t="s">
        <v>23</v>
      </c>
      <c r="E16" s="29"/>
      <c r="F16" s="29"/>
      <c r="G16" s="29"/>
      <c r="H16" s="29"/>
      <c r="I16" s="29"/>
      <c r="J16" s="30" t="s">
        <v>1326</v>
      </c>
      <c r="K16" s="29"/>
      <c r="L16" s="29"/>
      <c r="M16" s="30" t="s">
        <v>30</v>
      </c>
      <c r="N16" s="14" t="s">
        <v>29</v>
      </c>
      <c r="O16" s="29">
        <v>1</v>
      </c>
      <c r="P16" s="79">
        <f>24908</f>
        <v>24908</v>
      </c>
    </row>
    <row r="17" spans="1:16" ht="34.5" customHeight="1">
      <c r="A17" s="11">
        <v>9</v>
      </c>
      <c r="B17" s="11"/>
      <c r="C17" s="34" t="s">
        <v>121</v>
      </c>
      <c r="D17" s="15" t="s">
        <v>118</v>
      </c>
      <c r="E17" s="29"/>
      <c r="F17" s="29"/>
      <c r="G17" s="29"/>
      <c r="H17" s="29"/>
      <c r="I17" s="29"/>
      <c r="J17" s="30" t="s">
        <v>1327</v>
      </c>
      <c r="K17" s="29"/>
      <c r="L17" s="29"/>
      <c r="M17" s="30" t="s">
        <v>30</v>
      </c>
      <c r="N17" s="14" t="s">
        <v>122</v>
      </c>
      <c r="O17" s="29">
        <v>1</v>
      </c>
      <c r="P17" s="79">
        <f>18980</f>
        <v>18980</v>
      </c>
    </row>
    <row r="18" spans="1:16" ht="34.5" customHeight="1">
      <c r="A18" s="11">
        <v>10</v>
      </c>
      <c r="B18" s="11"/>
      <c r="C18" s="34" t="s">
        <v>120</v>
      </c>
      <c r="D18" s="15" t="s">
        <v>55</v>
      </c>
      <c r="E18" s="29"/>
      <c r="F18" s="29"/>
      <c r="G18" s="29"/>
      <c r="H18" s="29"/>
      <c r="I18" s="29"/>
      <c r="J18" s="30" t="s">
        <v>1327</v>
      </c>
      <c r="K18" s="29"/>
      <c r="L18" s="29"/>
      <c r="M18" s="30" t="s">
        <v>30</v>
      </c>
      <c r="N18" s="14" t="s">
        <v>67</v>
      </c>
      <c r="O18" s="29">
        <v>1</v>
      </c>
      <c r="P18" s="79">
        <f>36870</f>
        <v>36870</v>
      </c>
    </row>
    <row r="19" spans="1:16" ht="34.5" customHeight="1">
      <c r="A19" s="11">
        <v>11</v>
      </c>
      <c r="B19" s="11"/>
      <c r="C19" s="34" t="s">
        <v>119</v>
      </c>
      <c r="D19" s="15" t="s">
        <v>117</v>
      </c>
      <c r="E19" s="29"/>
      <c r="F19" s="29"/>
      <c r="G19" s="29"/>
      <c r="H19" s="29"/>
      <c r="I19" s="29"/>
      <c r="J19" s="30" t="s">
        <v>1327</v>
      </c>
      <c r="K19" s="29"/>
      <c r="L19" s="29"/>
      <c r="M19" s="30" t="s">
        <v>30</v>
      </c>
      <c r="N19" s="14" t="s">
        <v>37</v>
      </c>
      <c r="O19" s="29">
        <v>1</v>
      </c>
      <c r="P19" s="79">
        <f>15100</f>
        <v>15100</v>
      </c>
    </row>
    <row r="20" spans="1:16" ht="31.5">
      <c r="A20" s="11">
        <v>12</v>
      </c>
      <c r="B20" s="11"/>
      <c r="C20" s="34" t="s">
        <v>63</v>
      </c>
      <c r="D20" s="15" t="s">
        <v>57</v>
      </c>
      <c r="E20" s="29"/>
      <c r="F20" s="29"/>
      <c r="G20" s="29"/>
      <c r="H20" s="29"/>
      <c r="I20" s="29"/>
      <c r="J20" s="30" t="s">
        <v>1328</v>
      </c>
      <c r="K20" s="29"/>
      <c r="L20" s="29"/>
      <c r="M20" s="30" t="s">
        <v>30</v>
      </c>
      <c r="N20" s="14" t="s">
        <v>69</v>
      </c>
      <c r="O20" s="29">
        <v>1</v>
      </c>
      <c r="P20" s="79">
        <f>15690</f>
        <v>15690</v>
      </c>
    </row>
    <row r="21" spans="1:16" ht="31.5">
      <c r="A21" s="11">
        <v>13</v>
      </c>
      <c r="B21" s="11"/>
      <c r="C21" s="34" t="s">
        <v>62</v>
      </c>
      <c r="D21" s="15" t="s">
        <v>56</v>
      </c>
      <c r="E21" s="29"/>
      <c r="F21" s="29"/>
      <c r="G21" s="29"/>
      <c r="H21" s="29"/>
      <c r="I21" s="29"/>
      <c r="J21" s="30" t="s">
        <v>1328</v>
      </c>
      <c r="K21" s="29"/>
      <c r="L21" s="29"/>
      <c r="M21" s="30" t="s">
        <v>30</v>
      </c>
      <c r="N21" s="14" t="s">
        <v>68</v>
      </c>
      <c r="O21" s="29">
        <v>1</v>
      </c>
      <c r="P21" s="79">
        <f>28060</f>
        <v>28060</v>
      </c>
    </row>
    <row r="22" spans="1:16" ht="31.5">
      <c r="A22" s="11">
        <v>14</v>
      </c>
      <c r="B22" s="11"/>
      <c r="C22" s="34" t="s">
        <v>61</v>
      </c>
      <c r="D22" s="15" t="s">
        <v>55</v>
      </c>
      <c r="E22" s="29"/>
      <c r="F22" s="29"/>
      <c r="G22" s="29"/>
      <c r="H22" s="29"/>
      <c r="I22" s="29"/>
      <c r="J22" s="30" t="s">
        <v>1328</v>
      </c>
      <c r="K22" s="29"/>
      <c r="L22" s="29"/>
      <c r="M22" s="30" t="s">
        <v>30</v>
      </c>
      <c r="N22" s="14" t="s">
        <v>67</v>
      </c>
      <c r="O22" s="29">
        <v>1</v>
      </c>
      <c r="P22" s="79">
        <f>36870</f>
        <v>36870</v>
      </c>
    </row>
    <row r="23" spans="1:16" ht="31.5">
      <c r="A23" s="11">
        <v>15</v>
      </c>
      <c r="B23" s="11"/>
      <c r="C23" s="34" t="s">
        <v>60</v>
      </c>
      <c r="D23" s="15" t="s">
        <v>38</v>
      </c>
      <c r="E23" s="29"/>
      <c r="F23" s="29"/>
      <c r="G23" s="29"/>
      <c r="H23" s="29"/>
      <c r="I23" s="29"/>
      <c r="J23" s="30" t="s">
        <v>1328</v>
      </c>
      <c r="K23" s="29"/>
      <c r="L23" s="29"/>
      <c r="M23" s="30" t="s">
        <v>30</v>
      </c>
      <c r="N23" s="14" t="s">
        <v>66</v>
      </c>
      <c r="O23" s="29">
        <v>1</v>
      </c>
      <c r="P23" s="79">
        <f>19032</f>
        <v>19032</v>
      </c>
    </row>
    <row r="24" spans="1:16" ht="31.5">
      <c r="A24" s="11">
        <v>16</v>
      </c>
      <c r="B24" s="11"/>
      <c r="C24" s="34" t="s">
        <v>59</v>
      </c>
      <c r="D24" s="15" t="s">
        <v>54</v>
      </c>
      <c r="E24" s="29"/>
      <c r="F24" s="29"/>
      <c r="G24" s="29"/>
      <c r="H24" s="29"/>
      <c r="I24" s="29"/>
      <c r="J24" s="30" t="s">
        <v>1328</v>
      </c>
      <c r="K24" s="29"/>
      <c r="L24" s="29"/>
      <c r="M24" s="30" t="s">
        <v>30</v>
      </c>
      <c r="N24" s="14" t="s">
        <v>65</v>
      </c>
      <c r="O24" s="29">
        <v>1</v>
      </c>
      <c r="P24" s="79">
        <f>33500</f>
        <v>33500</v>
      </c>
    </row>
    <row r="25" spans="1:16" ht="31.5">
      <c r="A25" s="11">
        <v>17</v>
      </c>
      <c r="B25" s="11"/>
      <c r="C25" s="34" t="s">
        <v>58</v>
      </c>
      <c r="D25" s="15" t="s">
        <v>53</v>
      </c>
      <c r="E25" s="29"/>
      <c r="F25" s="29"/>
      <c r="G25" s="29"/>
      <c r="H25" s="29"/>
      <c r="I25" s="29"/>
      <c r="J25" s="30" t="s">
        <v>1328</v>
      </c>
      <c r="K25" s="29"/>
      <c r="L25" s="29"/>
      <c r="M25" s="30" t="s">
        <v>30</v>
      </c>
      <c r="N25" s="14" t="s">
        <v>64</v>
      </c>
      <c r="O25" s="29">
        <v>1</v>
      </c>
      <c r="P25" s="79">
        <f>55200</f>
        <v>55200</v>
      </c>
    </row>
    <row r="26" spans="1:16" ht="31.5">
      <c r="A26" s="11">
        <v>18</v>
      </c>
      <c r="B26" s="11"/>
      <c r="C26" s="34" t="s">
        <v>78</v>
      </c>
      <c r="D26" s="15" t="s">
        <v>71</v>
      </c>
      <c r="E26" s="29"/>
      <c r="F26" s="29"/>
      <c r="G26" s="29"/>
      <c r="H26" s="29"/>
      <c r="I26" s="29"/>
      <c r="J26" s="30" t="s">
        <v>1328</v>
      </c>
      <c r="K26" s="29"/>
      <c r="L26" s="29"/>
      <c r="M26" s="30" t="s">
        <v>30</v>
      </c>
      <c r="N26" s="14" t="s">
        <v>81</v>
      </c>
      <c r="O26" s="29">
        <v>1</v>
      </c>
      <c r="P26" s="79">
        <f>12469.6</f>
        <v>12469.6</v>
      </c>
    </row>
    <row r="27" spans="1:16" ht="31.5">
      <c r="A27" s="7">
        <v>19</v>
      </c>
      <c r="B27" s="11"/>
      <c r="C27" s="34" t="s">
        <v>77</v>
      </c>
      <c r="D27" s="15" t="s">
        <v>70</v>
      </c>
      <c r="E27" s="29"/>
      <c r="F27" s="29"/>
      <c r="G27" s="29"/>
      <c r="H27" s="29"/>
      <c r="I27" s="29"/>
      <c r="J27" s="30" t="s">
        <v>1328</v>
      </c>
      <c r="K27" s="29"/>
      <c r="L27" s="29"/>
      <c r="M27" s="30" t="s">
        <v>30</v>
      </c>
      <c r="N27" s="14" t="s">
        <v>80</v>
      </c>
      <c r="O27" s="29">
        <v>1</v>
      </c>
      <c r="P27" s="79">
        <f>42000</f>
        <v>42000</v>
      </c>
    </row>
    <row r="28" spans="1:16" ht="31.5">
      <c r="A28" s="39">
        <v>20</v>
      </c>
      <c r="B28" s="11"/>
      <c r="C28" s="34" t="s">
        <v>76</v>
      </c>
      <c r="D28" s="15" t="s">
        <v>70</v>
      </c>
      <c r="E28" s="29"/>
      <c r="F28" s="29"/>
      <c r="G28" s="29"/>
      <c r="H28" s="29"/>
      <c r="I28" s="29"/>
      <c r="J28" s="30" t="s">
        <v>1328</v>
      </c>
      <c r="K28" s="29"/>
      <c r="L28" s="29"/>
      <c r="M28" s="30" t="s">
        <v>30</v>
      </c>
      <c r="N28" s="14" t="s">
        <v>80</v>
      </c>
      <c r="O28" s="29">
        <v>1</v>
      </c>
      <c r="P28" s="79">
        <f>42000</f>
        <v>42000</v>
      </c>
    </row>
    <row r="29" spans="1:16" ht="31.5">
      <c r="A29" s="11">
        <v>21</v>
      </c>
      <c r="B29" s="11"/>
      <c r="C29" s="34" t="s">
        <v>75</v>
      </c>
      <c r="D29" s="15" t="s">
        <v>70</v>
      </c>
      <c r="E29" s="29"/>
      <c r="F29" s="29"/>
      <c r="G29" s="29"/>
      <c r="H29" s="29"/>
      <c r="I29" s="29"/>
      <c r="J29" s="30" t="s">
        <v>1328</v>
      </c>
      <c r="K29" s="29"/>
      <c r="L29" s="29"/>
      <c r="M29" s="30" t="s">
        <v>30</v>
      </c>
      <c r="N29" s="14" t="s">
        <v>79</v>
      </c>
      <c r="O29" s="29">
        <v>1</v>
      </c>
      <c r="P29" s="79">
        <f>57476</f>
        <v>57476</v>
      </c>
    </row>
    <row r="30" spans="1:16" ht="31.5">
      <c r="A30" s="11">
        <v>22</v>
      </c>
      <c r="B30" s="11"/>
      <c r="C30" s="34" t="s">
        <v>74</v>
      </c>
      <c r="D30" s="15" t="s">
        <v>70</v>
      </c>
      <c r="E30" s="29"/>
      <c r="F30" s="29"/>
      <c r="G30" s="29"/>
      <c r="H30" s="29"/>
      <c r="I30" s="29"/>
      <c r="J30" s="30" t="s">
        <v>1328</v>
      </c>
      <c r="K30" s="29"/>
      <c r="L30" s="29"/>
      <c r="M30" s="30" t="s">
        <v>30</v>
      </c>
      <c r="N30" s="14" t="s">
        <v>79</v>
      </c>
      <c r="O30" s="29">
        <v>1</v>
      </c>
      <c r="P30" s="79">
        <f>57476</f>
        <v>57476</v>
      </c>
    </row>
    <row r="31" spans="1:16" ht="31.5">
      <c r="A31" s="11">
        <v>23</v>
      </c>
      <c r="B31" s="11"/>
      <c r="C31" s="34" t="s">
        <v>73</v>
      </c>
      <c r="D31" s="15" t="s">
        <v>70</v>
      </c>
      <c r="E31" s="29"/>
      <c r="F31" s="29"/>
      <c r="G31" s="29"/>
      <c r="H31" s="29"/>
      <c r="I31" s="29"/>
      <c r="J31" s="30" t="s">
        <v>1328</v>
      </c>
      <c r="K31" s="29"/>
      <c r="L31" s="29"/>
      <c r="M31" s="30" t="s">
        <v>30</v>
      </c>
      <c r="N31" s="14" t="s">
        <v>79</v>
      </c>
      <c r="O31" s="29">
        <v>1</v>
      </c>
      <c r="P31" s="79">
        <f>57476</f>
        <v>57476</v>
      </c>
    </row>
    <row r="32" spans="1:16" ht="31.5">
      <c r="A32" s="11">
        <v>24</v>
      </c>
      <c r="B32" s="11"/>
      <c r="C32" s="34" t="s">
        <v>72</v>
      </c>
      <c r="D32" s="15" t="s">
        <v>23</v>
      </c>
      <c r="E32" s="29"/>
      <c r="F32" s="29"/>
      <c r="G32" s="29"/>
      <c r="H32" s="29"/>
      <c r="I32" s="29"/>
      <c r="J32" s="30" t="s">
        <v>1328</v>
      </c>
      <c r="K32" s="29"/>
      <c r="L32" s="29"/>
      <c r="M32" s="30" t="s">
        <v>30</v>
      </c>
      <c r="N32" s="14" t="s">
        <v>29</v>
      </c>
      <c r="O32" s="29">
        <v>1</v>
      </c>
      <c r="P32" s="79">
        <f>24908</f>
        <v>24908</v>
      </c>
    </row>
    <row r="33" spans="1:16" ht="94.5">
      <c r="A33" s="11">
        <v>25</v>
      </c>
      <c r="B33" s="11"/>
      <c r="C33" s="34" t="s">
        <v>107</v>
      </c>
      <c r="D33" s="15" t="s">
        <v>92</v>
      </c>
      <c r="E33" s="29"/>
      <c r="F33" s="29"/>
      <c r="G33" s="29"/>
      <c r="H33" s="29"/>
      <c r="I33" s="29"/>
      <c r="J33" s="30" t="s">
        <v>1328</v>
      </c>
      <c r="K33" s="29"/>
      <c r="L33" s="29"/>
      <c r="M33" s="29" t="s">
        <v>1931</v>
      </c>
      <c r="N33" s="14" t="s">
        <v>116</v>
      </c>
      <c r="O33" s="29">
        <v>1</v>
      </c>
      <c r="P33" s="79">
        <f>48700</f>
        <v>48700</v>
      </c>
    </row>
    <row r="34" spans="1:16" ht="63">
      <c r="A34" s="11">
        <v>26</v>
      </c>
      <c r="B34" s="11"/>
      <c r="C34" s="34" t="s">
        <v>106</v>
      </c>
      <c r="D34" s="15" t="s">
        <v>91</v>
      </c>
      <c r="E34" s="29"/>
      <c r="F34" s="29"/>
      <c r="G34" s="29"/>
      <c r="H34" s="29"/>
      <c r="I34" s="29"/>
      <c r="J34" s="30" t="s">
        <v>1328</v>
      </c>
      <c r="K34" s="29"/>
      <c r="L34" s="29"/>
      <c r="M34" s="29" t="s">
        <v>1931</v>
      </c>
      <c r="N34" s="14" t="s">
        <v>115</v>
      </c>
      <c r="O34" s="29">
        <v>1</v>
      </c>
      <c r="P34" s="79">
        <f>30990</f>
        <v>30990</v>
      </c>
    </row>
    <row r="35" spans="1:16" ht="31.5">
      <c r="A35" s="11">
        <v>27</v>
      </c>
      <c r="B35" s="11"/>
      <c r="C35" s="34" t="s">
        <v>105</v>
      </c>
      <c r="D35" s="15" t="s">
        <v>90</v>
      </c>
      <c r="E35" s="29"/>
      <c r="F35" s="29"/>
      <c r="G35" s="29"/>
      <c r="H35" s="29"/>
      <c r="I35" s="29"/>
      <c r="J35" s="30" t="s">
        <v>1328</v>
      </c>
      <c r="K35" s="29"/>
      <c r="L35" s="29"/>
      <c r="M35" s="29" t="s">
        <v>1931</v>
      </c>
      <c r="N35" s="14" t="s">
        <v>114</v>
      </c>
      <c r="O35" s="29">
        <v>2</v>
      </c>
      <c r="P35" s="79">
        <f>139500</f>
        <v>139500</v>
      </c>
    </row>
    <row r="36" spans="1:16" ht="31.5">
      <c r="A36" s="11">
        <v>28</v>
      </c>
      <c r="B36" s="11"/>
      <c r="C36" s="34" t="s">
        <v>104</v>
      </c>
      <c r="D36" s="15" t="s">
        <v>89</v>
      </c>
      <c r="E36" s="29"/>
      <c r="F36" s="29"/>
      <c r="G36" s="29"/>
      <c r="H36" s="29"/>
      <c r="I36" s="29"/>
      <c r="J36" s="30" t="s">
        <v>1328</v>
      </c>
      <c r="K36" s="29"/>
      <c r="L36" s="29"/>
      <c r="M36" s="29" t="s">
        <v>1931</v>
      </c>
      <c r="N36" s="14" t="s">
        <v>113</v>
      </c>
      <c r="O36" s="29">
        <v>1</v>
      </c>
      <c r="P36" s="79">
        <f>35828</f>
        <v>35828</v>
      </c>
    </row>
    <row r="37" spans="1:16" ht="31.5">
      <c r="A37" s="11">
        <v>29</v>
      </c>
      <c r="B37" s="11"/>
      <c r="C37" s="34" t="s">
        <v>103</v>
      </c>
      <c r="D37" s="15" t="s">
        <v>88</v>
      </c>
      <c r="E37" s="29"/>
      <c r="F37" s="29"/>
      <c r="G37" s="29"/>
      <c r="H37" s="29"/>
      <c r="I37" s="29"/>
      <c r="J37" s="30" t="s">
        <v>1328</v>
      </c>
      <c r="K37" s="29"/>
      <c r="L37" s="29"/>
      <c r="M37" s="29" t="s">
        <v>1931</v>
      </c>
      <c r="N37" s="14" t="s">
        <v>112</v>
      </c>
      <c r="O37" s="29">
        <v>1</v>
      </c>
      <c r="P37" s="79">
        <f>29490</f>
        <v>29490</v>
      </c>
    </row>
    <row r="38" spans="1:16" ht="31.5">
      <c r="A38" s="11">
        <v>30</v>
      </c>
      <c r="B38" s="11"/>
      <c r="C38" s="34" t="s">
        <v>102</v>
      </c>
      <c r="D38" s="15" t="s">
        <v>87</v>
      </c>
      <c r="E38" s="29"/>
      <c r="F38" s="29"/>
      <c r="G38" s="29"/>
      <c r="H38" s="29"/>
      <c r="I38" s="29"/>
      <c r="J38" s="30" t="s">
        <v>1328</v>
      </c>
      <c r="K38" s="29"/>
      <c r="L38" s="29"/>
      <c r="M38" s="29" t="s">
        <v>1931</v>
      </c>
      <c r="N38" s="14" t="s">
        <v>111</v>
      </c>
      <c r="O38" s="29">
        <v>1</v>
      </c>
      <c r="P38" s="79">
        <f>13900</f>
        <v>13900</v>
      </c>
    </row>
    <row r="39" spans="1:16" ht="31.5">
      <c r="A39" s="11">
        <v>31</v>
      </c>
      <c r="B39" s="11"/>
      <c r="C39" s="34" t="s">
        <v>101</v>
      </c>
      <c r="D39" s="15" t="s">
        <v>87</v>
      </c>
      <c r="E39" s="29"/>
      <c r="F39" s="29"/>
      <c r="G39" s="29"/>
      <c r="H39" s="29"/>
      <c r="I39" s="29"/>
      <c r="J39" s="30" t="s">
        <v>1328</v>
      </c>
      <c r="K39" s="29"/>
      <c r="L39" s="29"/>
      <c r="M39" s="29" t="s">
        <v>1931</v>
      </c>
      <c r="N39" s="14" t="s">
        <v>111</v>
      </c>
      <c r="O39" s="29">
        <v>1</v>
      </c>
      <c r="P39" s="79">
        <f>13900</f>
        <v>13900</v>
      </c>
    </row>
    <row r="40" spans="1:16" ht="31.5">
      <c r="A40" s="11">
        <v>32</v>
      </c>
      <c r="B40" s="11"/>
      <c r="C40" s="34" t="s">
        <v>100</v>
      </c>
      <c r="D40" s="15" t="s">
        <v>87</v>
      </c>
      <c r="E40" s="29"/>
      <c r="F40" s="29"/>
      <c r="G40" s="29"/>
      <c r="H40" s="29"/>
      <c r="I40" s="29"/>
      <c r="J40" s="30" t="s">
        <v>1328</v>
      </c>
      <c r="K40" s="29"/>
      <c r="L40" s="29"/>
      <c r="M40" s="29" t="s">
        <v>1931</v>
      </c>
      <c r="N40" s="14" t="s">
        <v>111</v>
      </c>
      <c r="O40" s="29">
        <v>1</v>
      </c>
      <c r="P40" s="79">
        <f>13900</f>
        <v>13900</v>
      </c>
    </row>
    <row r="41" spans="1:16" ht="31.5">
      <c r="A41" s="11">
        <v>33</v>
      </c>
      <c r="B41" s="11"/>
      <c r="C41" s="34" t="s">
        <v>99</v>
      </c>
      <c r="D41" s="15" t="s">
        <v>87</v>
      </c>
      <c r="E41" s="29"/>
      <c r="F41" s="29"/>
      <c r="G41" s="29"/>
      <c r="H41" s="29"/>
      <c r="I41" s="29"/>
      <c r="J41" s="30" t="s">
        <v>1328</v>
      </c>
      <c r="K41" s="29"/>
      <c r="L41" s="29"/>
      <c r="M41" s="29" t="s">
        <v>1931</v>
      </c>
      <c r="N41" s="14" t="s">
        <v>111</v>
      </c>
      <c r="O41" s="29">
        <v>1</v>
      </c>
      <c r="P41" s="79">
        <f>13900</f>
        <v>13900</v>
      </c>
    </row>
    <row r="42" spans="1:16" ht="47.25">
      <c r="A42" s="11">
        <v>34</v>
      </c>
      <c r="B42" s="11"/>
      <c r="C42" s="34" t="s">
        <v>98</v>
      </c>
      <c r="D42" s="15" t="s">
        <v>86</v>
      </c>
      <c r="E42" s="29"/>
      <c r="F42" s="29"/>
      <c r="G42" s="29"/>
      <c r="H42" s="29"/>
      <c r="I42" s="29"/>
      <c r="J42" s="30" t="s">
        <v>1328</v>
      </c>
      <c r="K42" s="29"/>
      <c r="L42" s="29"/>
      <c r="M42" s="29" t="s">
        <v>1931</v>
      </c>
      <c r="N42" s="14" t="s">
        <v>111</v>
      </c>
      <c r="O42" s="29">
        <v>1</v>
      </c>
      <c r="P42" s="79">
        <f>12539</f>
        <v>12539</v>
      </c>
    </row>
    <row r="43" spans="1:16" ht="31.5">
      <c r="A43" s="11">
        <v>35</v>
      </c>
      <c r="B43" s="11"/>
      <c r="C43" s="34" t="s">
        <v>97</v>
      </c>
      <c r="D43" s="15" t="s">
        <v>85</v>
      </c>
      <c r="E43" s="29"/>
      <c r="F43" s="29"/>
      <c r="G43" s="29"/>
      <c r="H43" s="29"/>
      <c r="I43" s="29"/>
      <c r="J43" s="30" t="s">
        <v>1328</v>
      </c>
      <c r="K43" s="29"/>
      <c r="L43" s="29"/>
      <c r="M43" s="29" t="s">
        <v>1931</v>
      </c>
      <c r="N43" s="14" t="s">
        <v>110</v>
      </c>
      <c r="O43" s="29">
        <v>1</v>
      </c>
      <c r="P43" s="79">
        <f>24900</f>
        <v>24900</v>
      </c>
    </row>
    <row r="44" spans="1:16" ht="31.5">
      <c r="A44" s="39">
        <v>36</v>
      </c>
      <c r="B44" s="11"/>
      <c r="C44" s="34" t="s">
        <v>96</v>
      </c>
      <c r="D44" s="15" t="s">
        <v>84</v>
      </c>
      <c r="E44" s="29"/>
      <c r="F44" s="29"/>
      <c r="G44" s="29"/>
      <c r="H44" s="29"/>
      <c r="I44" s="29"/>
      <c r="J44" s="30" t="s">
        <v>1328</v>
      </c>
      <c r="K44" s="29"/>
      <c r="L44" s="29"/>
      <c r="M44" s="29" t="s">
        <v>1931</v>
      </c>
      <c r="N44" s="14" t="s">
        <v>33</v>
      </c>
      <c r="O44" s="29">
        <v>1</v>
      </c>
      <c r="P44" s="79">
        <f>11790</f>
        <v>11790</v>
      </c>
    </row>
    <row r="45" spans="1:16" ht="47.25">
      <c r="A45" s="7">
        <v>37</v>
      </c>
      <c r="B45" s="11"/>
      <c r="C45" s="34" t="s">
        <v>95</v>
      </c>
      <c r="D45" s="15" t="s">
        <v>83</v>
      </c>
      <c r="E45" s="29"/>
      <c r="F45" s="29"/>
      <c r="G45" s="29"/>
      <c r="H45" s="29"/>
      <c r="I45" s="29"/>
      <c r="J45" s="30" t="s">
        <v>1328</v>
      </c>
      <c r="K45" s="29"/>
      <c r="L45" s="29"/>
      <c r="M45" s="29" t="s">
        <v>1931</v>
      </c>
      <c r="N45" s="14" t="s">
        <v>109</v>
      </c>
      <c r="O45" s="29">
        <v>1</v>
      </c>
      <c r="P45" s="79">
        <f>18910</f>
        <v>18910</v>
      </c>
    </row>
    <row r="46" spans="1:16" ht="15.75">
      <c r="A46" s="11">
        <v>38</v>
      </c>
      <c r="B46" s="11"/>
      <c r="C46" s="34" t="s">
        <v>94</v>
      </c>
      <c r="D46" s="15" t="s">
        <v>82</v>
      </c>
      <c r="E46" s="29"/>
      <c r="F46" s="29"/>
      <c r="G46" s="29"/>
      <c r="H46" s="29"/>
      <c r="I46" s="29"/>
      <c r="J46" s="30" t="s">
        <v>1328</v>
      </c>
      <c r="K46" s="29"/>
      <c r="L46" s="29"/>
      <c r="M46" s="29" t="s">
        <v>1931</v>
      </c>
      <c r="N46" s="14" t="s">
        <v>108</v>
      </c>
      <c r="O46" s="29">
        <v>1</v>
      </c>
      <c r="P46" s="79">
        <f>12500</f>
        <v>12500</v>
      </c>
    </row>
    <row r="47" spans="1:30" ht="31.5">
      <c r="A47" s="11">
        <v>39</v>
      </c>
      <c r="B47" s="11"/>
      <c r="C47" s="34" t="s">
        <v>93</v>
      </c>
      <c r="D47" s="25" t="s">
        <v>2165</v>
      </c>
      <c r="E47" s="29"/>
      <c r="F47" s="29"/>
      <c r="G47" s="29"/>
      <c r="H47" s="29"/>
      <c r="I47" s="29"/>
      <c r="J47" s="30" t="s">
        <v>1328</v>
      </c>
      <c r="K47" s="29"/>
      <c r="L47" s="29"/>
      <c r="M47" s="30" t="s">
        <v>30</v>
      </c>
      <c r="N47" s="37">
        <v>43888</v>
      </c>
      <c r="O47" s="29">
        <v>1</v>
      </c>
      <c r="P47" s="79">
        <v>46790</v>
      </c>
      <c r="Q47" s="19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48" spans="1:30" ht="47.25">
      <c r="A48" s="11">
        <v>40</v>
      </c>
      <c r="B48" s="11"/>
      <c r="C48" s="36" t="s">
        <v>2248</v>
      </c>
      <c r="D48" s="25" t="s">
        <v>2249</v>
      </c>
      <c r="E48" s="29"/>
      <c r="F48" s="29"/>
      <c r="G48" s="29"/>
      <c r="H48" s="29"/>
      <c r="I48" s="29"/>
      <c r="J48" s="30" t="s">
        <v>1328</v>
      </c>
      <c r="K48" s="29"/>
      <c r="L48" s="29"/>
      <c r="M48" s="30" t="s">
        <v>30</v>
      </c>
      <c r="N48" s="37">
        <v>43965</v>
      </c>
      <c r="O48" s="29">
        <v>1</v>
      </c>
      <c r="P48" s="79">
        <v>45590</v>
      </c>
      <c r="Q48" s="19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spans="1:30" ht="31.5">
      <c r="A49" s="39">
        <v>41</v>
      </c>
      <c r="B49" s="11"/>
      <c r="C49" s="36" t="s">
        <v>2289</v>
      </c>
      <c r="D49" s="25" t="s">
        <v>2290</v>
      </c>
      <c r="E49" s="29"/>
      <c r="F49" s="29"/>
      <c r="G49" s="29"/>
      <c r="H49" s="29"/>
      <c r="I49" s="29"/>
      <c r="J49" s="30" t="s">
        <v>1328</v>
      </c>
      <c r="K49" s="29"/>
      <c r="L49" s="29"/>
      <c r="M49" s="30" t="s">
        <v>30</v>
      </c>
      <c r="N49" s="37">
        <v>44084</v>
      </c>
      <c r="O49" s="29">
        <v>1</v>
      </c>
      <c r="P49" s="79">
        <v>45520</v>
      </c>
      <c r="Q49" s="19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 spans="1:30" ht="31.5">
      <c r="A50" s="7">
        <v>42</v>
      </c>
      <c r="B50" s="11"/>
      <c r="C50" s="36" t="s">
        <v>2291</v>
      </c>
      <c r="D50" s="25" t="s">
        <v>2290</v>
      </c>
      <c r="E50" s="29"/>
      <c r="F50" s="29"/>
      <c r="G50" s="29"/>
      <c r="H50" s="29"/>
      <c r="I50" s="29"/>
      <c r="J50" s="30" t="s">
        <v>1328</v>
      </c>
      <c r="K50" s="29"/>
      <c r="L50" s="29"/>
      <c r="M50" s="30" t="s">
        <v>30</v>
      </c>
      <c r="N50" s="37">
        <v>44084</v>
      </c>
      <c r="O50" s="29">
        <v>1</v>
      </c>
      <c r="P50" s="79">
        <v>45520</v>
      </c>
      <c r="Q50" s="19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spans="1:30" ht="31.5">
      <c r="A51" s="7">
        <v>43</v>
      </c>
      <c r="B51" s="11"/>
      <c r="C51" s="36" t="s">
        <v>2473</v>
      </c>
      <c r="D51" s="25" t="s">
        <v>2474</v>
      </c>
      <c r="E51" s="29"/>
      <c r="F51" s="29"/>
      <c r="G51" s="29"/>
      <c r="H51" s="29"/>
      <c r="I51" s="29"/>
      <c r="J51" s="30" t="s">
        <v>1328</v>
      </c>
      <c r="K51" s="29"/>
      <c r="L51" s="29"/>
      <c r="M51" s="30" t="s">
        <v>30</v>
      </c>
      <c r="N51" s="37">
        <v>44225</v>
      </c>
      <c r="O51" s="29">
        <v>1</v>
      </c>
      <c r="P51" s="79">
        <v>47440</v>
      </c>
      <c r="Q51" s="19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spans="1:30" ht="31.5">
      <c r="A52" s="7">
        <v>44</v>
      </c>
      <c r="B52" s="11"/>
      <c r="C52" s="36" t="s">
        <v>2475</v>
      </c>
      <c r="D52" s="25" t="s">
        <v>2474</v>
      </c>
      <c r="E52" s="29"/>
      <c r="F52" s="29"/>
      <c r="G52" s="29"/>
      <c r="H52" s="29"/>
      <c r="I52" s="29"/>
      <c r="J52" s="30" t="s">
        <v>1328</v>
      </c>
      <c r="K52" s="29"/>
      <c r="L52" s="29"/>
      <c r="M52" s="30" t="s">
        <v>30</v>
      </c>
      <c r="N52" s="37">
        <v>44225</v>
      </c>
      <c r="O52" s="29">
        <v>1</v>
      </c>
      <c r="P52" s="79">
        <v>47440</v>
      </c>
      <c r="Q52" s="19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:30" ht="31.5">
      <c r="A53" s="11">
        <v>45</v>
      </c>
      <c r="B53" s="11"/>
      <c r="C53" s="36" t="s">
        <v>2476</v>
      </c>
      <c r="D53" s="25" t="s">
        <v>2474</v>
      </c>
      <c r="E53" s="29"/>
      <c r="F53" s="29"/>
      <c r="G53" s="29"/>
      <c r="H53" s="29"/>
      <c r="I53" s="29"/>
      <c r="J53" s="30" t="s">
        <v>1328</v>
      </c>
      <c r="K53" s="29"/>
      <c r="L53" s="29"/>
      <c r="M53" s="30" t="s">
        <v>30</v>
      </c>
      <c r="N53" s="37">
        <v>44225</v>
      </c>
      <c r="O53" s="29">
        <v>1</v>
      </c>
      <c r="P53" s="79">
        <v>47440</v>
      </c>
      <c r="Q53" s="19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:30" ht="47.25">
      <c r="A54" s="11">
        <v>46</v>
      </c>
      <c r="B54" s="11"/>
      <c r="C54" s="36" t="s">
        <v>2519</v>
      </c>
      <c r="D54" s="25" t="s">
        <v>2520</v>
      </c>
      <c r="E54" s="29"/>
      <c r="F54" s="29"/>
      <c r="G54" s="29"/>
      <c r="H54" s="29"/>
      <c r="I54" s="29"/>
      <c r="J54" s="30" t="s">
        <v>1328</v>
      </c>
      <c r="K54" s="29"/>
      <c r="L54" s="29"/>
      <c r="M54" s="30" t="s">
        <v>30</v>
      </c>
      <c r="N54" s="37">
        <v>44356</v>
      </c>
      <c r="O54" s="29">
        <v>1</v>
      </c>
      <c r="P54" s="79">
        <v>49050</v>
      </c>
      <c r="Q54" s="19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spans="1:30" ht="63">
      <c r="A55" s="11">
        <v>47</v>
      </c>
      <c r="B55" s="11"/>
      <c r="C55" s="36" t="s">
        <v>2583</v>
      </c>
      <c r="D55" s="25" t="s">
        <v>2584</v>
      </c>
      <c r="E55" s="29"/>
      <c r="F55" s="29"/>
      <c r="G55" s="29"/>
      <c r="H55" s="29"/>
      <c r="I55" s="29"/>
      <c r="J55" s="30" t="s">
        <v>1328</v>
      </c>
      <c r="K55" s="29"/>
      <c r="L55" s="29"/>
      <c r="M55" s="30" t="s">
        <v>30</v>
      </c>
      <c r="N55" s="37">
        <v>44546</v>
      </c>
      <c r="O55" s="29">
        <v>1</v>
      </c>
      <c r="P55" s="79">
        <v>56100</v>
      </c>
      <c r="Q55" s="19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1:30" ht="31.5">
      <c r="A56" s="11">
        <v>48</v>
      </c>
      <c r="B56" s="11"/>
      <c r="C56" s="36" t="s">
        <v>2585</v>
      </c>
      <c r="D56" s="25" t="s">
        <v>2586</v>
      </c>
      <c r="E56" s="29"/>
      <c r="F56" s="29"/>
      <c r="G56" s="29"/>
      <c r="H56" s="29"/>
      <c r="I56" s="29"/>
      <c r="J56" s="30" t="s">
        <v>1328</v>
      </c>
      <c r="K56" s="29"/>
      <c r="L56" s="29"/>
      <c r="M56" s="30" t="s">
        <v>30</v>
      </c>
      <c r="N56" s="37">
        <v>44546</v>
      </c>
      <c r="O56" s="29">
        <v>1</v>
      </c>
      <c r="P56" s="79">
        <v>46490</v>
      </c>
      <c r="Q56" s="19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</row>
    <row r="57" spans="1:30" ht="47.25">
      <c r="A57" s="11">
        <v>49</v>
      </c>
      <c r="B57" s="11"/>
      <c r="C57" s="36" t="s">
        <v>2590</v>
      </c>
      <c r="D57" s="25" t="s">
        <v>2591</v>
      </c>
      <c r="E57" s="29"/>
      <c r="F57" s="29"/>
      <c r="G57" s="29"/>
      <c r="H57" s="29"/>
      <c r="I57" s="29"/>
      <c r="J57" s="30" t="s">
        <v>1328</v>
      </c>
      <c r="K57" s="29"/>
      <c r="L57" s="29"/>
      <c r="M57" s="30" t="s">
        <v>30</v>
      </c>
      <c r="N57" s="37">
        <v>44586</v>
      </c>
      <c r="O57" s="29">
        <v>1</v>
      </c>
      <c r="P57" s="79">
        <v>52900</v>
      </c>
      <c r="Q57" s="19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</row>
    <row r="58" spans="1:30" ht="15.75">
      <c r="A58" s="11"/>
      <c r="B58" s="11"/>
      <c r="C58" s="36"/>
      <c r="D58" s="25" t="s">
        <v>2477</v>
      </c>
      <c r="E58" s="29"/>
      <c r="F58" s="29"/>
      <c r="G58" s="29"/>
      <c r="H58" s="29"/>
      <c r="I58" s="29"/>
      <c r="J58" s="30"/>
      <c r="K58" s="29"/>
      <c r="L58" s="29"/>
      <c r="M58" s="30"/>
      <c r="N58" s="37"/>
      <c r="O58" s="18">
        <f>SUM(O9:O57)</f>
        <v>50</v>
      </c>
      <c r="P58" s="79">
        <f>SUM(P9:P57)</f>
        <v>1685112.6</v>
      </c>
      <c r="Q58" s="19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</row>
    <row r="59" spans="1:31" ht="15" customHeight="1">
      <c r="A59" s="56" t="s">
        <v>144</v>
      </c>
      <c r="B59" s="57"/>
      <c r="C59" s="57"/>
      <c r="D59" s="57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83"/>
      <c r="Q59" s="10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2"/>
    </row>
    <row r="60" spans="1:29" ht="15.75">
      <c r="A60" s="11">
        <v>1</v>
      </c>
      <c r="B60" s="11"/>
      <c r="C60" s="34" t="s">
        <v>48</v>
      </c>
      <c r="D60" s="15" t="s">
        <v>44</v>
      </c>
      <c r="E60" s="11"/>
      <c r="F60" s="11"/>
      <c r="G60" s="11"/>
      <c r="H60" s="11"/>
      <c r="I60" s="11"/>
      <c r="J60" s="17" t="s">
        <v>1328</v>
      </c>
      <c r="K60" s="11"/>
      <c r="L60" s="11"/>
      <c r="M60" s="11" t="s">
        <v>1943</v>
      </c>
      <c r="N60" s="14" t="s">
        <v>52</v>
      </c>
      <c r="O60" s="11">
        <v>1</v>
      </c>
      <c r="P60" s="79">
        <f>500000</f>
        <v>500000</v>
      </c>
      <c r="Q60" s="19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spans="1:29" ht="15.75">
      <c r="A61" s="11">
        <v>2</v>
      </c>
      <c r="B61" s="11"/>
      <c r="C61" s="34" t="s">
        <v>47</v>
      </c>
      <c r="D61" s="15" t="s">
        <v>44</v>
      </c>
      <c r="E61" s="11"/>
      <c r="F61" s="11"/>
      <c r="G61" s="11"/>
      <c r="H61" s="11"/>
      <c r="I61" s="11"/>
      <c r="J61" s="17" t="s">
        <v>1328</v>
      </c>
      <c r="K61" s="11"/>
      <c r="L61" s="11"/>
      <c r="M61" s="11" t="s">
        <v>1943</v>
      </c>
      <c r="N61" s="14" t="s">
        <v>51</v>
      </c>
      <c r="O61" s="11">
        <v>1</v>
      </c>
      <c r="P61" s="79">
        <f>682500</f>
        <v>682500</v>
      </c>
      <c r="Q61" s="19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 spans="1:29" ht="15.75">
      <c r="A62" s="11">
        <v>3</v>
      </c>
      <c r="B62" s="11"/>
      <c r="C62" s="34" t="s">
        <v>46</v>
      </c>
      <c r="D62" s="15" t="s">
        <v>43</v>
      </c>
      <c r="E62" s="11"/>
      <c r="F62" s="11"/>
      <c r="G62" s="11"/>
      <c r="H62" s="11"/>
      <c r="I62" s="11"/>
      <c r="J62" s="17" t="s">
        <v>1328</v>
      </c>
      <c r="K62" s="11"/>
      <c r="L62" s="11"/>
      <c r="M62" s="11" t="s">
        <v>1943</v>
      </c>
      <c r="N62" s="14" t="s">
        <v>50</v>
      </c>
      <c r="O62" s="11">
        <v>1</v>
      </c>
      <c r="P62" s="79">
        <f>290000</f>
        <v>290000</v>
      </c>
      <c r="Q62" s="19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</row>
    <row r="63" spans="1:29" ht="15.75">
      <c r="A63" s="11">
        <v>4</v>
      </c>
      <c r="B63" s="11"/>
      <c r="C63" s="34" t="s">
        <v>45</v>
      </c>
      <c r="D63" s="15" t="s">
        <v>42</v>
      </c>
      <c r="E63" s="11"/>
      <c r="F63" s="11"/>
      <c r="G63" s="11"/>
      <c r="H63" s="11"/>
      <c r="I63" s="11"/>
      <c r="J63" s="17" t="s">
        <v>1328</v>
      </c>
      <c r="K63" s="11"/>
      <c r="L63" s="11"/>
      <c r="M63" s="11" t="s">
        <v>1943</v>
      </c>
      <c r="N63" s="14" t="s">
        <v>49</v>
      </c>
      <c r="O63" s="11">
        <v>1</v>
      </c>
      <c r="P63" s="79">
        <f>160000</f>
        <v>160000</v>
      </c>
      <c r="Q63" s="19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</row>
    <row r="64" spans="1:29" ht="31.5">
      <c r="A64" s="11">
        <v>5</v>
      </c>
      <c r="B64" s="11"/>
      <c r="C64" s="36" t="s">
        <v>2587</v>
      </c>
      <c r="D64" s="25" t="s">
        <v>2588</v>
      </c>
      <c r="E64" s="11"/>
      <c r="F64" s="11"/>
      <c r="G64" s="11"/>
      <c r="H64" s="11"/>
      <c r="I64" s="11"/>
      <c r="J64" s="17" t="s">
        <v>1328</v>
      </c>
      <c r="K64" s="11"/>
      <c r="L64" s="11"/>
      <c r="M64" s="11" t="s">
        <v>1943</v>
      </c>
      <c r="N64" s="37">
        <v>44532</v>
      </c>
      <c r="O64" s="11">
        <v>1</v>
      </c>
      <c r="P64" s="79">
        <v>1447192.5</v>
      </c>
      <c r="Q64" s="19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spans="1:29" ht="15.75">
      <c r="A65" s="11"/>
      <c r="B65" s="11"/>
      <c r="C65" s="34"/>
      <c r="D65" s="25" t="s">
        <v>2477</v>
      </c>
      <c r="E65" s="11"/>
      <c r="F65" s="11"/>
      <c r="G65" s="11"/>
      <c r="H65" s="11"/>
      <c r="I65" s="11"/>
      <c r="J65" s="17"/>
      <c r="K65" s="11"/>
      <c r="L65" s="11"/>
      <c r="M65" s="11"/>
      <c r="N65" s="14"/>
      <c r="O65" s="11">
        <f>SUM(O60:O64)</f>
        <v>5</v>
      </c>
      <c r="P65" s="84">
        <f>SUM(P60:P64)</f>
        <v>3079692.5</v>
      </c>
      <c r="Q65" s="19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</row>
    <row r="66" spans="1:30" ht="15" customHeight="1">
      <c r="A66" s="56" t="s">
        <v>142</v>
      </c>
      <c r="B66" s="57"/>
      <c r="C66" s="57"/>
      <c r="D66" s="57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83"/>
      <c r="Q66" s="10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2"/>
    </row>
    <row r="67" spans="1:28" ht="31.5">
      <c r="A67" s="11">
        <v>1</v>
      </c>
      <c r="B67" s="11"/>
      <c r="C67" s="34" t="s">
        <v>128</v>
      </c>
      <c r="D67" s="25" t="s">
        <v>125</v>
      </c>
      <c r="E67" s="29"/>
      <c r="F67" s="29"/>
      <c r="G67" s="29"/>
      <c r="H67" s="29"/>
      <c r="I67" s="29"/>
      <c r="J67" s="16" t="s">
        <v>1324</v>
      </c>
      <c r="K67" s="29"/>
      <c r="L67" s="29"/>
      <c r="M67" s="30" t="s">
        <v>1929</v>
      </c>
      <c r="N67" s="14" t="s">
        <v>129</v>
      </c>
      <c r="O67" s="11">
        <v>1</v>
      </c>
      <c r="P67" s="79">
        <f>142770</f>
        <v>142770</v>
      </c>
      <c r="Q67" s="19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16" ht="31.5">
      <c r="A68" s="11">
        <v>2</v>
      </c>
      <c r="B68" s="11"/>
      <c r="C68" s="34" t="s">
        <v>127</v>
      </c>
      <c r="D68" s="15" t="s">
        <v>124</v>
      </c>
      <c r="E68" s="29"/>
      <c r="F68" s="29"/>
      <c r="G68" s="29"/>
      <c r="H68" s="29"/>
      <c r="I68" s="29"/>
      <c r="J68" s="16" t="s">
        <v>1324</v>
      </c>
      <c r="K68" s="29"/>
      <c r="L68" s="29"/>
      <c r="M68" s="30" t="s">
        <v>1929</v>
      </c>
      <c r="N68" s="14" t="s">
        <v>129</v>
      </c>
      <c r="O68" s="11">
        <v>1</v>
      </c>
      <c r="P68" s="79">
        <f>32064.28</f>
        <v>32064.28</v>
      </c>
    </row>
    <row r="69" spans="1:16" ht="31.5">
      <c r="A69" s="39">
        <v>3</v>
      </c>
      <c r="B69" s="11"/>
      <c r="C69" s="34" t="s">
        <v>126</v>
      </c>
      <c r="D69" s="15" t="s">
        <v>123</v>
      </c>
      <c r="E69" s="29"/>
      <c r="F69" s="29"/>
      <c r="G69" s="29"/>
      <c r="H69" s="29"/>
      <c r="I69" s="29"/>
      <c r="J69" s="16" t="s">
        <v>1324</v>
      </c>
      <c r="K69" s="29"/>
      <c r="L69" s="29"/>
      <c r="M69" s="30" t="s">
        <v>1929</v>
      </c>
      <c r="N69" s="14" t="s">
        <v>129</v>
      </c>
      <c r="O69" s="11">
        <v>1</v>
      </c>
      <c r="P69" s="79">
        <f>42502.72</f>
        <v>42502.72</v>
      </c>
    </row>
    <row r="70" spans="1:16" ht="31.5">
      <c r="A70" s="11">
        <v>4</v>
      </c>
      <c r="B70" s="11"/>
      <c r="C70" s="34" t="s">
        <v>133</v>
      </c>
      <c r="D70" s="15" t="s">
        <v>131</v>
      </c>
      <c r="E70" s="29"/>
      <c r="F70" s="29"/>
      <c r="G70" s="29"/>
      <c r="H70" s="29"/>
      <c r="I70" s="29"/>
      <c r="J70" s="30" t="s">
        <v>1325</v>
      </c>
      <c r="K70" s="29"/>
      <c r="L70" s="29"/>
      <c r="M70" s="30" t="s">
        <v>1929</v>
      </c>
      <c r="N70" s="14" t="s">
        <v>134</v>
      </c>
      <c r="O70" s="11">
        <v>1</v>
      </c>
      <c r="P70" s="79">
        <f>130170</f>
        <v>130170</v>
      </c>
    </row>
    <row r="71" spans="1:16" ht="31.5">
      <c r="A71" s="11">
        <v>5</v>
      </c>
      <c r="B71" s="11"/>
      <c r="C71" s="34" t="s">
        <v>132</v>
      </c>
      <c r="D71" s="15" t="s">
        <v>130</v>
      </c>
      <c r="E71" s="29"/>
      <c r="F71" s="29"/>
      <c r="G71" s="29"/>
      <c r="H71" s="29"/>
      <c r="I71" s="29"/>
      <c r="J71" s="30" t="s">
        <v>1325</v>
      </c>
      <c r="K71" s="29"/>
      <c r="L71" s="29"/>
      <c r="M71" s="30" t="s">
        <v>1929</v>
      </c>
      <c r="N71" s="14" t="s">
        <v>134</v>
      </c>
      <c r="O71" s="11">
        <v>1</v>
      </c>
      <c r="P71" s="79">
        <f>133130</f>
        <v>133130</v>
      </c>
    </row>
    <row r="72" spans="1:16" ht="31.5">
      <c r="A72" s="11">
        <v>6</v>
      </c>
      <c r="B72" s="11"/>
      <c r="C72" s="34" t="s">
        <v>140</v>
      </c>
      <c r="D72" s="15" t="s">
        <v>137</v>
      </c>
      <c r="E72" s="29"/>
      <c r="F72" s="29"/>
      <c r="G72" s="29"/>
      <c r="H72" s="29"/>
      <c r="I72" s="29"/>
      <c r="J72" s="30" t="s">
        <v>1326</v>
      </c>
      <c r="K72" s="29"/>
      <c r="L72" s="29"/>
      <c r="M72" s="30" t="s">
        <v>1929</v>
      </c>
      <c r="N72" s="14" t="s">
        <v>141</v>
      </c>
      <c r="O72" s="11">
        <v>1</v>
      </c>
      <c r="P72" s="79">
        <f>14850</f>
        <v>14850</v>
      </c>
    </row>
    <row r="73" spans="1:16" ht="31.5">
      <c r="A73" s="11">
        <v>7</v>
      </c>
      <c r="B73" s="11"/>
      <c r="C73" s="34" t="s">
        <v>139</v>
      </c>
      <c r="D73" s="15" t="s">
        <v>136</v>
      </c>
      <c r="E73" s="29"/>
      <c r="F73" s="29"/>
      <c r="G73" s="29"/>
      <c r="H73" s="29"/>
      <c r="I73" s="29"/>
      <c r="J73" s="30" t="s">
        <v>1326</v>
      </c>
      <c r="K73" s="29"/>
      <c r="L73" s="29"/>
      <c r="M73" s="30" t="s">
        <v>1929</v>
      </c>
      <c r="N73" s="14" t="s">
        <v>141</v>
      </c>
      <c r="O73" s="11">
        <v>1</v>
      </c>
      <c r="P73" s="79">
        <f>59400</f>
        <v>59400</v>
      </c>
    </row>
    <row r="74" spans="1:16" ht="31.5">
      <c r="A74" s="11">
        <v>8</v>
      </c>
      <c r="B74" s="11"/>
      <c r="C74" s="34" t="s">
        <v>138</v>
      </c>
      <c r="D74" s="15" t="s">
        <v>135</v>
      </c>
      <c r="E74" s="29"/>
      <c r="F74" s="29"/>
      <c r="G74" s="29"/>
      <c r="H74" s="29"/>
      <c r="I74" s="29"/>
      <c r="J74" s="30" t="s">
        <v>1326</v>
      </c>
      <c r="K74" s="29"/>
      <c r="L74" s="29"/>
      <c r="M74" s="30" t="s">
        <v>1929</v>
      </c>
      <c r="N74" s="14" t="s">
        <v>141</v>
      </c>
      <c r="O74" s="11">
        <v>1</v>
      </c>
      <c r="P74" s="79">
        <f>64280</f>
        <v>64280</v>
      </c>
    </row>
    <row r="75" spans="1:16" ht="31.5">
      <c r="A75" s="11">
        <v>9</v>
      </c>
      <c r="B75" s="11"/>
      <c r="C75" s="34" t="s">
        <v>148</v>
      </c>
      <c r="D75" s="15" t="s">
        <v>146</v>
      </c>
      <c r="E75" s="29"/>
      <c r="F75" s="29"/>
      <c r="G75" s="29"/>
      <c r="H75" s="29"/>
      <c r="I75" s="29"/>
      <c r="J75" s="30" t="s">
        <v>1327</v>
      </c>
      <c r="K75" s="29"/>
      <c r="L75" s="29"/>
      <c r="M75" s="30" t="s">
        <v>1929</v>
      </c>
      <c r="N75" s="14" t="s">
        <v>150</v>
      </c>
      <c r="O75" s="11">
        <v>1</v>
      </c>
      <c r="P75" s="79">
        <f>99900</f>
        <v>99900</v>
      </c>
    </row>
    <row r="76" spans="1:16" ht="47.25">
      <c r="A76" s="11">
        <v>10</v>
      </c>
      <c r="B76" s="11"/>
      <c r="C76" s="34" t="s">
        <v>147</v>
      </c>
      <c r="D76" s="15" t="s">
        <v>145</v>
      </c>
      <c r="E76" s="29"/>
      <c r="F76" s="29"/>
      <c r="G76" s="29"/>
      <c r="H76" s="29"/>
      <c r="I76" s="29"/>
      <c r="J76" s="30" t="s">
        <v>1327</v>
      </c>
      <c r="K76" s="29"/>
      <c r="L76" s="29"/>
      <c r="M76" s="30" t="s">
        <v>1929</v>
      </c>
      <c r="N76" s="14" t="s">
        <v>149</v>
      </c>
      <c r="O76" s="11">
        <v>1</v>
      </c>
      <c r="P76" s="79">
        <f>43800</f>
        <v>43800</v>
      </c>
    </row>
    <row r="77" spans="1:16" ht="31.5">
      <c r="A77" s="11">
        <v>11</v>
      </c>
      <c r="B77" s="11"/>
      <c r="C77" s="34" t="s">
        <v>152</v>
      </c>
      <c r="D77" s="15" t="s">
        <v>151</v>
      </c>
      <c r="E77" s="29"/>
      <c r="F77" s="29"/>
      <c r="G77" s="29"/>
      <c r="H77" s="29"/>
      <c r="I77" s="29"/>
      <c r="J77" s="30" t="s">
        <v>1328</v>
      </c>
      <c r="K77" s="29"/>
      <c r="L77" s="29"/>
      <c r="M77" s="30" t="s">
        <v>1929</v>
      </c>
      <c r="N77" s="14" t="s">
        <v>27</v>
      </c>
      <c r="O77" s="11">
        <v>1</v>
      </c>
      <c r="P77" s="79">
        <f>10510</f>
        <v>10510</v>
      </c>
    </row>
    <row r="78" spans="1:16" ht="31.5">
      <c r="A78" s="11">
        <v>12</v>
      </c>
      <c r="B78" s="11"/>
      <c r="C78" s="34" t="s">
        <v>154</v>
      </c>
      <c r="D78" s="15" t="s">
        <v>153</v>
      </c>
      <c r="E78" s="29"/>
      <c r="F78" s="29"/>
      <c r="G78" s="29"/>
      <c r="H78" s="29"/>
      <c r="I78" s="29"/>
      <c r="J78" s="30" t="s">
        <v>1328</v>
      </c>
      <c r="K78" s="29"/>
      <c r="L78" s="29"/>
      <c r="M78" s="30" t="s">
        <v>1929</v>
      </c>
      <c r="N78" s="14" t="s">
        <v>155</v>
      </c>
      <c r="O78" s="11">
        <v>1</v>
      </c>
      <c r="P78" s="79">
        <f>38800</f>
        <v>38800</v>
      </c>
    </row>
    <row r="79" spans="1:16" ht="31.5">
      <c r="A79" s="11">
        <v>13</v>
      </c>
      <c r="B79" s="11"/>
      <c r="C79" s="34" t="s">
        <v>178</v>
      </c>
      <c r="D79" s="15" t="s">
        <v>177</v>
      </c>
      <c r="E79" s="29"/>
      <c r="F79" s="29"/>
      <c r="G79" s="29"/>
      <c r="H79" s="29"/>
      <c r="I79" s="29"/>
      <c r="J79" s="30" t="s">
        <v>1328</v>
      </c>
      <c r="K79" s="29"/>
      <c r="L79" s="29"/>
      <c r="M79" s="30" t="s">
        <v>1929</v>
      </c>
      <c r="N79" s="14" t="s">
        <v>181</v>
      </c>
      <c r="O79" s="11">
        <v>1</v>
      </c>
      <c r="P79" s="79">
        <f>12685.92</f>
        <v>12685.92</v>
      </c>
    </row>
    <row r="80" spans="1:16" ht="31.5">
      <c r="A80" s="11">
        <v>14</v>
      </c>
      <c r="B80" s="11"/>
      <c r="C80" s="34" t="s">
        <v>176</v>
      </c>
      <c r="D80" s="15" t="s">
        <v>175</v>
      </c>
      <c r="E80" s="29"/>
      <c r="F80" s="29"/>
      <c r="G80" s="29"/>
      <c r="H80" s="29"/>
      <c r="I80" s="29"/>
      <c r="J80" s="30" t="s">
        <v>1328</v>
      </c>
      <c r="K80" s="29"/>
      <c r="L80" s="29"/>
      <c r="M80" s="30" t="s">
        <v>1929</v>
      </c>
      <c r="N80" s="14" t="s">
        <v>184</v>
      </c>
      <c r="O80" s="11">
        <v>1</v>
      </c>
      <c r="P80" s="79">
        <f>32475</f>
        <v>32475</v>
      </c>
    </row>
    <row r="81" spans="1:16" ht="31.5">
      <c r="A81" s="11">
        <v>15</v>
      </c>
      <c r="B81" s="11"/>
      <c r="C81" s="34" t="s">
        <v>174</v>
      </c>
      <c r="D81" s="15" t="s">
        <v>173</v>
      </c>
      <c r="E81" s="29"/>
      <c r="F81" s="29"/>
      <c r="G81" s="29"/>
      <c r="H81" s="29"/>
      <c r="I81" s="29"/>
      <c r="J81" s="30" t="s">
        <v>1328</v>
      </c>
      <c r="K81" s="29"/>
      <c r="L81" s="29"/>
      <c r="M81" s="30" t="s">
        <v>1929</v>
      </c>
      <c r="N81" s="14" t="s">
        <v>187</v>
      </c>
      <c r="O81" s="11">
        <v>1</v>
      </c>
      <c r="P81" s="79">
        <f>68900</f>
        <v>68900</v>
      </c>
    </row>
    <row r="82" spans="1:16" ht="31.5">
      <c r="A82" s="11">
        <v>16</v>
      </c>
      <c r="B82" s="11"/>
      <c r="C82" s="34" t="s">
        <v>172</v>
      </c>
      <c r="D82" s="15" t="s">
        <v>171</v>
      </c>
      <c r="E82" s="29"/>
      <c r="F82" s="29"/>
      <c r="G82" s="29"/>
      <c r="H82" s="29"/>
      <c r="I82" s="29"/>
      <c r="J82" s="30" t="s">
        <v>1328</v>
      </c>
      <c r="K82" s="29"/>
      <c r="L82" s="29"/>
      <c r="M82" s="30" t="s">
        <v>1929</v>
      </c>
      <c r="N82" s="14" t="s">
        <v>186</v>
      </c>
      <c r="O82" s="11">
        <v>1</v>
      </c>
      <c r="P82" s="79">
        <f>27684</f>
        <v>27684</v>
      </c>
    </row>
    <row r="83" spans="1:16" ht="31.5">
      <c r="A83" s="11">
        <v>17</v>
      </c>
      <c r="B83" s="11"/>
      <c r="C83" s="34" t="s">
        <v>170</v>
      </c>
      <c r="D83" s="15" t="s">
        <v>169</v>
      </c>
      <c r="E83" s="29"/>
      <c r="F83" s="29"/>
      <c r="G83" s="29"/>
      <c r="H83" s="29"/>
      <c r="I83" s="29"/>
      <c r="J83" s="30" t="s">
        <v>1328</v>
      </c>
      <c r="K83" s="29"/>
      <c r="L83" s="29"/>
      <c r="M83" s="30" t="s">
        <v>1929</v>
      </c>
      <c r="N83" s="14" t="s">
        <v>185</v>
      </c>
      <c r="O83" s="11">
        <v>1</v>
      </c>
      <c r="P83" s="79">
        <f>15899.13</f>
        <v>15899.13</v>
      </c>
    </row>
    <row r="84" spans="1:16" ht="31.5">
      <c r="A84" s="11">
        <v>18</v>
      </c>
      <c r="B84" s="11"/>
      <c r="C84" s="34" t="s">
        <v>168</v>
      </c>
      <c r="D84" s="15" t="s">
        <v>165</v>
      </c>
      <c r="E84" s="29"/>
      <c r="F84" s="29"/>
      <c r="G84" s="29"/>
      <c r="H84" s="29"/>
      <c r="I84" s="29"/>
      <c r="J84" s="30" t="s">
        <v>1328</v>
      </c>
      <c r="K84" s="29"/>
      <c r="L84" s="29"/>
      <c r="M84" s="30" t="s">
        <v>1929</v>
      </c>
      <c r="N84" s="14" t="s">
        <v>184</v>
      </c>
      <c r="O84" s="11">
        <v>1</v>
      </c>
      <c r="P84" s="79">
        <f>12500</f>
        <v>12500</v>
      </c>
    </row>
    <row r="85" spans="1:16" ht="31.5">
      <c r="A85" s="7">
        <v>19</v>
      </c>
      <c r="B85" s="11"/>
      <c r="C85" s="34" t="s">
        <v>167</v>
      </c>
      <c r="D85" s="15" t="s">
        <v>165</v>
      </c>
      <c r="E85" s="29"/>
      <c r="F85" s="29"/>
      <c r="G85" s="29"/>
      <c r="H85" s="29"/>
      <c r="I85" s="29"/>
      <c r="J85" s="30" t="s">
        <v>1328</v>
      </c>
      <c r="K85" s="29"/>
      <c r="L85" s="29"/>
      <c r="M85" s="30" t="s">
        <v>1929</v>
      </c>
      <c r="N85" s="14" t="s">
        <v>184</v>
      </c>
      <c r="O85" s="11">
        <v>1</v>
      </c>
      <c r="P85" s="79">
        <f>12500</f>
        <v>12500</v>
      </c>
    </row>
    <row r="86" spans="1:16" ht="31.5">
      <c r="A86" s="39">
        <v>20</v>
      </c>
      <c r="B86" s="11"/>
      <c r="C86" s="34" t="s">
        <v>166</v>
      </c>
      <c r="D86" s="15" t="s">
        <v>165</v>
      </c>
      <c r="E86" s="29"/>
      <c r="F86" s="29"/>
      <c r="G86" s="29"/>
      <c r="H86" s="29"/>
      <c r="I86" s="29"/>
      <c r="J86" s="30" t="s">
        <v>1328</v>
      </c>
      <c r="K86" s="29"/>
      <c r="L86" s="29"/>
      <c r="M86" s="30" t="s">
        <v>1929</v>
      </c>
      <c r="N86" s="14" t="s">
        <v>183</v>
      </c>
      <c r="O86" s="11">
        <v>1</v>
      </c>
      <c r="P86" s="79">
        <f>12500</f>
        <v>12500</v>
      </c>
    </row>
    <row r="87" spans="1:16" ht="31.5">
      <c r="A87" s="11">
        <v>21</v>
      </c>
      <c r="B87" s="11"/>
      <c r="C87" s="34" t="s">
        <v>164</v>
      </c>
      <c r="D87" s="15" t="s">
        <v>163</v>
      </c>
      <c r="E87" s="29"/>
      <c r="F87" s="29"/>
      <c r="G87" s="29"/>
      <c r="H87" s="29"/>
      <c r="I87" s="29"/>
      <c r="J87" s="30" t="s">
        <v>1328</v>
      </c>
      <c r="K87" s="29"/>
      <c r="L87" s="29"/>
      <c r="M87" s="30" t="s">
        <v>1929</v>
      </c>
      <c r="N87" s="14" t="s">
        <v>182</v>
      </c>
      <c r="O87" s="11">
        <v>1</v>
      </c>
      <c r="P87" s="79">
        <f>10631</f>
        <v>10631</v>
      </c>
    </row>
    <row r="88" spans="1:16" ht="31.5">
      <c r="A88" s="11">
        <v>22</v>
      </c>
      <c r="B88" s="11"/>
      <c r="C88" s="34" t="s">
        <v>162</v>
      </c>
      <c r="D88" s="15" t="s">
        <v>161</v>
      </c>
      <c r="E88" s="29"/>
      <c r="F88" s="29"/>
      <c r="G88" s="29"/>
      <c r="H88" s="29"/>
      <c r="I88" s="29"/>
      <c r="J88" s="30" t="s">
        <v>1328</v>
      </c>
      <c r="K88" s="29"/>
      <c r="L88" s="29"/>
      <c r="M88" s="30" t="s">
        <v>1929</v>
      </c>
      <c r="N88" s="14" t="s">
        <v>181</v>
      </c>
      <c r="O88" s="11">
        <v>1</v>
      </c>
      <c r="P88" s="79">
        <f>11726.13</f>
        <v>11726.13</v>
      </c>
    </row>
    <row r="89" spans="1:16" ht="31.5">
      <c r="A89" s="11">
        <v>23</v>
      </c>
      <c r="B89" s="11"/>
      <c r="C89" s="34" t="s">
        <v>160</v>
      </c>
      <c r="D89" s="15" t="s">
        <v>159</v>
      </c>
      <c r="E89" s="29"/>
      <c r="F89" s="29"/>
      <c r="G89" s="29"/>
      <c r="H89" s="29"/>
      <c r="I89" s="29"/>
      <c r="J89" s="30" t="s">
        <v>1328</v>
      </c>
      <c r="K89" s="29"/>
      <c r="L89" s="29"/>
      <c r="M89" s="30" t="s">
        <v>1929</v>
      </c>
      <c r="N89" s="14" t="s">
        <v>180</v>
      </c>
      <c r="O89" s="11">
        <v>7</v>
      </c>
      <c r="P89" s="79">
        <f>70785</f>
        <v>70785</v>
      </c>
    </row>
    <row r="90" spans="1:16" ht="31.5">
      <c r="A90" s="11">
        <v>24</v>
      </c>
      <c r="B90" s="11"/>
      <c r="C90" s="34" t="s">
        <v>158</v>
      </c>
      <c r="D90" s="15" t="s">
        <v>156</v>
      </c>
      <c r="E90" s="29"/>
      <c r="F90" s="29"/>
      <c r="G90" s="29"/>
      <c r="H90" s="29"/>
      <c r="I90" s="29"/>
      <c r="J90" s="30" t="s">
        <v>1328</v>
      </c>
      <c r="K90" s="29"/>
      <c r="L90" s="29"/>
      <c r="M90" s="30" t="s">
        <v>1929</v>
      </c>
      <c r="N90" s="14" t="s">
        <v>179</v>
      </c>
      <c r="O90" s="11">
        <v>1</v>
      </c>
      <c r="P90" s="79">
        <f>13300</f>
        <v>13300</v>
      </c>
    </row>
    <row r="91" spans="1:16" ht="31.5">
      <c r="A91" s="11">
        <v>25</v>
      </c>
      <c r="B91" s="11"/>
      <c r="C91" s="34" t="s">
        <v>157</v>
      </c>
      <c r="D91" s="15" t="s">
        <v>156</v>
      </c>
      <c r="E91" s="29"/>
      <c r="F91" s="29"/>
      <c r="G91" s="29"/>
      <c r="H91" s="29"/>
      <c r="I91" s="29"/>
      <c r="J91" s="30" t="s">
        <v>1328</v>
      </c>
      <c r="K91" s="29"/>
      <c r="L91" s="29"/>
      <c r="M91" s="30" t="s">
        <v>1929</v>
      </c>
      <c r="N91" s="14" t="s">
        <v>179</v>
      </c>
      <c r="O91" s="11">
        <v>1</v>
      </c>
      <c r="P91" s="79">
        <f>13300</f>
        <v>13300</v>
      </c>
    </row>
    <row r="92" spans="1:16" ht="31.5">
      <c r="A92" s="11">
        <v>26</v>
      </c>
      <c r="B92" s="11"/>
      <c r="C92" s="36" t="s">
        <v>1945</v>
      </c>
      <c r="D92" s="25" t="s">
        <v>1946</v>
      </c>
      <c r="E92" s="29"/>
      <c r="F92" s="29"/>
      <c r="G92" s="29"/>
      <c r="H92" s="29"/>
      <c r="I92" s="29"/>
      <c r="J92" s="30" t="s">
        <v>1328</v>
      </c>
      <c r="K92" s="29"/>
      <c r="L92" s="29"/>
      <c r="M92" s="30" t="s">
        <v>1929</v>
      </c>
      <c r="N92" s="37">
        <v>43497</v>
      </c>
      <c r="O92" s="11">
        <v>1</v>
      </c>
      <c r="P92" s="79">
        <v>48815</v>
      </c>
    </row>
    <row r="93" spans="1:16" ht="15.75">
      <c r="A93" s="11"/>
      <c r="B93" s="11"/>
      <c r="C93" s="36"/>
      <c r="D93" s="25" t="s">
        <v>2477</v>
      </c>
      <c r="E93" s="29"/>
      <c r="F93" s="29"/>
      <c r="G93" s="29"/>
      <c r="H93" s="29"/>
      <c r="I93" s="29"/>
      <c r="J93" s="30"/>
      <c r="K93" s="29"/>
      <c r="L93" s="29"/>
      <c r="M93" s="30"/>
      <c r="N93" s="37"/>
      <c r="O93" s="11">
        <f>SUM(O67:O92)</f>
        <v>32</v>
      </c>
      <c r="P93" s="85">
        <f>SUM(P67:P92)</f>
        <v>1175878.1800000002</v>
      </c>
    </row>
    <row r="94" spans="1:18" ht="15" customHeight="1">
      <c r="A94" s="56" t="s">
        <v>196</v>
      </c>
      <c r="B94" s="57"/>
      <c r="C94" s="57"/>
      <c r="D94" s="57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83"/>
      <c r="Q94" s="10"/>
      <c r="R94" s="20"/>
    </row>
    <row r="95" spans="1:18" ht="15.75">
      <c r="A95" s="11">
        <v>1</v>
      </c>
      <c r="B95" s="11"/>
      <c r="C95" s="34" t="s">
        <v>195</v>
      </c>
      <c r="D95" s="15" t="s">
        <v>194</v>
      </c>
      <c r="E95" s="29"/>
      <c r="F95" s="29"/>
      <c r="G95" s="29"/>
      <c r="H95" s="29"/>
      <c r="I95" s="29"/>
      <c r="J95" s="16" t="s">
        <v>1324</v>
      </c>
      <c r="K95" s="29"/>
      <c r="L95" s="29"/>
      <c r="M95" s="29" t="s">
        <v>1930</v>
      </c>
      <c r="N95" s="14" t="s">
        <v>129</v>
      </c>
      <c r="O95" s="29">
        <v>1</v>
      </c>
      <c r="P95" s="79">
        <f>33200</f>
        <v>33200</v>
      </c>
      <c r="Q95" s="19"/>
      <c r="R95" s="6"/>
    </row>
    <row r="96" spans="1:16" ht="15.75">
      <c r="A96" s="11">
        <v>2</v>
      </c>
      <c r="B96" s="11"/>
      <c r="C96" s="34" t="s">
        <v>193</v>
      </c>
      <c r="D96" s="15" t="s">
        <v>192</v>
      </c>
      <c r="E96" s="29"/>
      <c r="F96" s="29"/>
      <c r="G96" s="29"/>
      <c r="H96" s="29"/>
      <c r="I96" s="29"/>
      <c r="J96" s="16" t="s">
        <v>1324</v>
      </c>
      <c r="K96" s="29"/>
      <c r="L96" s="29"/>
      <c r="M96" s="29" t="s">
        <v>1930</v>
      </c>
      <c r="N96" s="14" t="s">
        <v>129</v>
      </c>
      <c r="O96" s="29">
        <v>1</v>
      </c>
      <c r="P96" s="79">
        <f>16860</f>
        <v>16860</v>
      </c>
    </row>
    <row r="97" spans="1:16" ht="15.75">
      <c r="A97" s="11">
        <v>3</v>
      </c>
      <c r="B97" s="11"/>
      <c r="C97" s="34" t="s">
        <v>191</v>
      </c>
      <c r="D97" s="15" t="s">
        <v>190</v>
      </c>
      <c r="E97" s="29"/>
      <c r="F97" s="29"/>
      <c r="G97" s="29"/>
      <c r="H97" s="29"/>
      <c r="I97" s="29"/>
      <c r="J97" s="16" t="s">
        <v>1324</v>
      </c>
      <c r="K97" s="29"/>
      <c r="L97" s="29"/>
      <c r="M97" s="29" t="s">
        <v>1930</v>
      </c>
      <c r="N97" s="14" t="s">
        <v>129</v>
      </c>
      <c r="O97" s="29">
        <v>1</v>
      </c>
      <c r="P97" s="79">
        <f>23540</f>
        <v>23540</v>
      </c>
    </row>
    <row r="98" spans="1:16" ht="15.75">
      <c r="A98" s="11">
        <v>4</v>
      </c>
      <c r="B98" s="11"/>
      <c r="C98" s="34" t="s">
        <v>189</v>
      </c>
      <c r="D98" s="15" t="s">
        <v>188</v>
      </c>
      <c r="E98" s="29"/>
      <c r="F98" s="29"/>
      <c r="G98" s="29"/>
      <c r="H98" s="29"/>
      <c r="I98" s="29"/>
      <c r="J98" s="16" t="s">
        <v>1324</v>
      </c>
      <c r="K98" s="29"/>
      <c r="L98" s="29"/>
      <c r="M98" s="29" t="s">
        <v>1930</v>
      </c>
      <c r="N98" s="14" t="s">
        <v>129</v>
      </c>
      <c r="O98" s="29">
        <v>1</v>
      </c>
      <c r="P98" s="79">
        <f>21520</f>
        <v>21520</v>
      </c>
    </row>
    <row r="99" spans="1:16" ht="31.5">
      <c r="A99" s="11">
        <v>5</v>
      </c>
      <c r="B99" s="11"/>
      <c r="C99" s="34" t="s">
        <v>201</v>
      </c>
      <c r="D99" s="15" t="s">
        <v>199</v>
      </c>
      <c r="E99" s="29"/>
      <c r="F99" s="29"/>
      <c r="G99" s="29"/>
      <c r="H99" s="29"/>
      <c r="I99" s="29"/>
      <c r="J99" s="30" t="s">
        <v>1325</v>
      </c>
      <c r="K99" s="29"/>
      <c r="L99" s="29"/>
      <c r="M99" s="29" t="s">
        <v>1930</v>
      </c>
      <c r="N99" s="14" t="s">
        <v>202</v>
      </c>
      <c r="O99" s="29">
        <v>1</v>
      </c>
      <c r="P99" s="79">
        <f>25460</f>
        <v>25460</v>
      </c>
    </row>
    <row r="100" spans="1:16" ht="31.5">
      <c r="A100" s="11">
        <v>6</v>
      </c>
      <c r="B100" s="11"/>
      <c r="C100" s="34" t="s">
        <v>200</v>
      </c>
      <c r="D100" s="15" t="s">
        <v>199</v>
      </c>
      <c r="E100" s="29"/>
      <c r="F100" s="29"/>
      <c r="G100" s="29"/>
      <c r="H100" s="29"/>
      <c r="I100" s="29"/>
      <c r="J100" s="30" t="s">
        <v>1325</v>
      </c>
      <c r="K100" s="29"/>
      <c r="L100" s="29"/>
      <c r="M100" s="29" t="s">
        <v>1930</v>
      </c>
      <c r="N100" s="14" t="s">
        <v>202</v>
      </c>
      <c r="O100" s="29">
        <v>1</v>
      </c>
      <c r="P100" s="79">
        <f>25460</f>
        <v>25460</v>
      </c>
    </row>
    <row r="101" spans="1:16" ht="31.5">
      <c r="A101" s="11">
        <v>7</v>
      </c>
      <c r="B101" s="11"/>
      <c r="C101" s="34" t="s">
        <v>198</v>
      </c>
      <c r="D101" s="15" t="s">
        <v>197</v>
      </c>
      <c r="E101" s="29"/>
      <c r="F101" s="29"/>
      <c r="G101" s="29"/>
      <c r="H101" s="29"/>
      <c r="I101" s="29"/>
      <c r="J101" s="30" t="s">
        <v>1325</v>
      </c>
      <c r="K101" s="29"/>
      <c r="L101" s="29"/>
      <c r="M101" s="29" t="s">
        <v>1930</v>
      </c>
      <c r="N101" s="14" t="s">
        <v>134</v>
      </c>
      <c r="O101" s="29">
        <v>1</v>
      </c>
      <c r="P101" s="79">
        <f>61700</f>
        <v>61700</v>
      </c>
    </row>
    <row r="102" spans="1:16" ht="15.75">
      <c r="A102" s="11">
        <v>8</v>
      </c>
      <c r="B102" s="11"/>
      <c r="C102" s="34" t="s">
        <v>210</v>
      </c>
      <c r="D102" s="15" t="s">
        <v>209</v>
      </c>
      <c r="E102" s="29"/>
      <c r="F102" s="29"/>
      <c r="G102" s="29"/>
      <c r="H102" s="29"/>
      <c r="I102" s="29"/>
      <c r="J102" s="30" t="s">
        <v>1326</v>
      </c>
      <c r="K102" s="29"/>
      <c r="L102" s="29"/>
      <c r="M102" s="29" t="s">
        <v>1930</v>
      </c>
      <c r="N102" s="14" t="s">
        <v>141</v>
      </c>
      <c r="O102" s="29">
        <v>1</v>
      </c>
      <c r="P102" s="79">
        <f>19800</f>
        <v>19800</v>
      </c>
    </row>
    <row r="103" spans="1:16" ht="15.75">
      <c r="A103" s="11">
        <v>9</v>
      </c>
      <c r="B103" s="11"/>
      <c r="C103" s="34" t="s">
        <v>208</v>
      </c>
      <c r="D103" s="15" t="s">
        <v>207</v>
      </c>
      <c r="E103" s="29"/>
      <c r="F103" s="29"/>
      <c r="G103" s="29"/>
      <c r="H103" s="29"/>
      <c r="I103" s="29"/>
      <c r="J103" s="30" t="s">
        <v>1326</v>
      </c>
      <c r="K103" s="29"/>
      <c r="L103" s="29"/>
      <c r="M103" s="29" t="s">
        <v>1930</v>
      </c>
      <c r="N103" s="14" t="s">
        <v>141</v>
      </c>
      <c r="O103" s="29">
        <v>1</v>
      </c>
      <c r="P103" s="79">
        <f>11880</f>
        <v>11880</v>
      </c>
    </row>
    <row r="104" spans="1:16" ht="15.75">
      <c r="A104" s="11">
        <v>10</v>
      </c>
      <c r="B104" s="11"/>
      <c r="C104" s="34" t="s">
        <v>206</v>
      </c>
      <c r="D104" s="15" t="s">
        <v>205</v>
      </c>
      <c r="E104" s="29"/>
      <c r="F104" s="29"/>
      <c r="G104" s="29"/>
      <c r="H104" s="29"/>
      <c r="I104" s="29"/>
      <c r="J104" s="30" t="s">
        <v>1326</v>
      </c>
      <c r="K104" s="29"/>
      <c r="L104" s="29"/>
      <c r="M104" s="29" t="s">
        <v>1930</v>
      </c>
      <c r="N104" s="14" t="s">
        <v>211</v>
      </c>
      <c r="O104" s="29">
        <v>1</v>
      </c>
      <c r="P104" s="79">
        <f>10800</f>
        <v>10800</v>
      </c>
    </row>
    <row r="105" spans="1:16" ht="15.75">
      <c r="A105" s="11">
        <v>11</v>
      </c>
      <c r="B105" s="11"/>
      <c r="C105" s="34" t="s">
        <v>204</v>
      </c>
      <c r="D105" s="15" t="s">
        <v>203</v>
      </c>
      <c r="E105" s="29"/>
      <c r="F105" s="29"/>
      <c r="G105" s="29"/>
      <c r="H105" s="29"/>
      <c r="I105" s="29"/>
      <c r="J105" s="30" t="s">
        <v>1326</v>
      </c>
      <c r="K105" s="29"/>
      <c r="L105" s="29"/>
      <c r="M105" s="29" t="s">
        <v>1930</v>
      </c>
      <c r="N105" s="14" t="s">
        <v>141</v>
      </c>
      <c r="O105" s="29">
        <v>1</v>
      </c>
      <c r="P105" s="79">
        <f>20790</f>
        <v>20790</v>
      </c>
    </row>
    <row r="106" spans="1:16" ht="31.5">
      <c r="A106" s="11">
        <v>12</v>
      </c>
      <c r="B106" s="11"/>
      <c r="C106" s="34" t="s">
        <v>221</v>
      </c>
      <c r="D106" s="15" t="s">
        <v>220</v>
      </c>
      <c r="E106" s="29"/>
      <c r="F106" s="29"/>
      <c r="G106" s="29"/>
      <c r="H106" s="29"/>
      <c r="I106" s="29"/>
      <c r="J106" s="30" t="s">
        <v>1327</v>
      </c>
      <c r="K106" s="29"/>
      <c r="L106" s="29"/>
      <c r="M106" s="29" t="s">
        <v>1930</v>
      </c>
      <c r="N106" s="14" t="s">
        <v>150</v>
      </c>
      <c r="O106" s="29">
        <v>1</v>
      </c>
      <c r="P106" s="79">
        <f>19000</f>
        <v>19000</v>
      </c>
    </row>
    <row r="107" spans="1:16" ht="15.75">
      <c r="A107" s="11">
        <v>13</v>
      </c>
      <c r="B107" s="11"/>
      <c r="C107" s="34" t="s">
        <v>219</v>
      </c>
      <c r="D107" s="15" t="s">
        <v>218</v>
      </c>
      <c r="E107" s="29"/>
      <c r="F107" s="29"/>
      <c r="G107" s="29"/>
      <c r="H107" s="29"/>
      <c r="I107" s="29"/>
      <c r="J107" s="30" t="s">
        <v>1327</v>
      </c>
      <c r="K107" s="29"/>
      <c r="L107" s="29"/>
      <c r="M107" s="29" t="s">
        <v>1930</v>
      </c>
      <c r="N107" s="14" t="s">
        <v>150</v>
      </c>
      <c r="O107" s="29">
        <v>1</v>
      </c>
      <c r="P107" s="79">
        <f>14500</f>
        <v>14500</v>
      </c>
    </row>
    <row r="108" spans="1:16" ht="31.5">
      <c r="A108" s="11">
        <v>14</v>
      </c>
      <c r="B108" s="11"/>
      <c r="C108" s="34" t="s">
        <v>217</v>
      </c>
      <c r="D108" s="15" t="s">
        <v>216</v>
      </c>
      <c r="E108" s="29"/>
      <c r="F108" s="29"/>
      <c r="G108" s="29"/>
      <c r="H108" s="29"/>
      <c r="I108" s="29"/>
      <c r="J108" s="30" t="s">
        <v>1327</v>
      </c>
      <c r="K108" s="29"/>
      <c r="L108" s="29"/>
      <c r="M108" s="29" t="s">
        <v>1930</v>
      </c>
      <c r="N108" s="14" t="s">
        <v>150</v>
      </c>
      <c r="O108" s="29">
        <v>1</v>
      </c>
      <c r="P108" s="79">
        <f>15500</f>
        <v>15500</v>
      </c>
    </row>
    <row r="109" spans="1:16" ht="15.75">
      <c r="A109" s="11">
        <v>15</v>
      </c>
      <c r="B109" s="11"/>
      <c r="C109" s="34" t="s">
        <v>215</v>
      </c>
      <c r="D109" s="15" t="s">
        <v>214</v>
      </c>
      <c r="E109" s="29"/>
      <c r="F109" s="29"/>
      <c r="G109" s="29"/>
      <c r="H109" s="29"/>
      <c r="I109" s="29"/>
      <c r="J109" s="30" t="s">
        <v>1327</v>
      </c>
      <c r="K109" s="29"/>
      <c r="L109" s="29"/>
      <c r="M109" s="29" t="s">
        <v>1930</v>
      </c>
      <c r="N109" s="14" t="s">
        <v>150</v>
      </c>
      <c r="O109" s="29">
        <v>1</v>
      </c>
      <c r="P109" s="79">
        <f>22000</f>
        <v>22000</v>
      </c>
    </row>
    <row r="110" spans="1:16" ht="15.75">
      <c r="A110" s="11">
        <v>16</v>
      </c>
      <c r="B110" s="11"/>
      <c r="C110" s="34" t="s">
        <v>213</v>
      </c>
      <c r="D110" s="15" t="s">
        <v>212</v>
      </c>
      <c r="E110" s="29"/>
      <c r="F110" s="29"/>
      <c r="G110" s="29"/>
      <c r="H110" s="29"/>
      <c r="I110" s="29"/>
      <c r="J110" s="30" t="s">
        <v>1327</v>
      </c>
      <c r="K110" s="29"/>
      <c r="L110" s="29"/>
      <c r="M110" s="29" t="s">
        <v>1930</v>
      </c>
      <c r="N110" s="14" t="s">
        <v>222</v>
      </c>
      <c r="O110" s="29">
        <v>1</v>
      </c>
      <c r="P110" s="79">
        <f>30000</f>
        <v>30000</v>
      </c>
    </row>
    <row r="111" spans="1:16" ht="15.75">
      <c r="A111" s="11">
        <v>17</v>
      </c>
      <c r="B111" s="11"/>
      <c r="C111" s="34" t="s">
        <v>223</v>
      </c>
      <c r="D111" s="15" t="s">
        <v>224</v>
      </c>
      <c r="E111" s="29"/>
      <c r="F111" s="29"/>
      <c r="G111" s="29"/>
      <c r="H111" s="29"/>
      <c r="I111" s="29"/>
      <c r="J111" s="30" t="s">
        <v>1327</v>
      </c>
      <c r="K111" s="29"/>
      <c r="L111" s="29"/>
      <c r="M111" s="29" t="s">
        <v>1930</v>
      </c>
      <c r="N111" s="14" t="s">
        <v>225</v>
      </c>
      <c r="O111" s="29">
        <v>1</v>
      </c>
      <c r="P111" s="79">
        <v>99000</v>
      </c>
    </row>
    <row r="112" spans="1:16" ht="15.75">
      <c r="A112" s="11">
        <v>18</v>
      </c>
      <c r="B112" s="11"/>
      <c r="C112" s="34" t="s">
        <v>227</v>
      </c>
      <c r="D112" s="15" t="s">
        <v>226</v>
      </c>
      <c r="E112" s="29"/>
      <c r="F112" s="29"/>
      <c r="G112" s="29"/>
      <c r="H112" s="29"/>
      <c r="I112" s="29"/>
      <c r="J112" s="30" t="s">
        <v>1328</v>
      </c>
      <c r="K112" s="29"/>
      <c r="L112" s="29"/>
      <c r="M112" s="29" t="s">
        <v>1930</v>
      </c>
      <c r="N112" s="14" t="s">
        <v>228</v>
      </c>
      <c r="O112" s="29">
        <v>1</v>
      </c>
      <c r="P112" s="79">
        <f>31000</f>
        <v>31000</v>
      </c>
    </row>
    <row r="113" spans="1:16" ht="31.5">
      <c r="A113" s="7">
        <v>19</v>
      </c>
      <c r="B113" s="11"/>
      <c r="C113" s="34" t="s">
        <v>234</v>
      </c>
      <c r="D113" s="15" t="s">
        <v>233</v>
      </c>
      <c r="E113" s="29"/>
      <c r="F113" s="29"/>
      <c r="G113" s="29"/>
      <c r="H113" s="29"/>
      <c r="I113" s="29"/>
      <c r="J113" s="30" t="s">
        <v>1328</v>
      </c>
      <c r="K113" s="29"/>
      <c r="L113" s="29"/>
      <c r="M113" s="29" t="s">
        <v>1930</v>
      </c>
      <c r="N113" s="14" t="s">
        <v>235</v>
      </c>
      <c r="O113" s="29">
        <v>1</v>
      </c>
      <c r="P113" s="79">
        <f>17000</f>
        <v>17000</v>
      </c>
    </row>
    <row r="114" spans="1:16" ht="31.5">
      <c r="A114" s="39">
        <v>20</v>
      </c>
      <c r="B114" s="11"/>
      <c r="C114" s="34" t="s">
        <v>232</v>
      </c>
      <c r="D114" s="15" t="s">
        <v>231</v>
      </c>
      <c r="E114" s="29"/>
      <c r="F114" s="29"/>
      <c r="G114" s="29"/>
      <c r="H114" s="29"/>
      <c r="I114" s="29"/>
      <c r="J114" s="30" t="s">
        <v>1328</v>
      </c>
      <c r="K114" s="29"/>
      <c r="L114" s="29"/>
      <c r="M114" s="29" t="s">
        <v>1930</v>
      </c>
      <c r="N114" s="14" t="s">
        <v>235</v>
      </c>
      <c r="O114" s="29">
        <v>1</v>
      </c>
      <c r="P114" s="79">
        <f>41000</f>
        <v>41000</v>
      </c>
    </row>
    <row r="115" spans="1:16" ht="47.25">
      <c r="A115" s="11">
        <v>21</v>
      </c>
      <c r="B115" s="11"/>
      <c r="C115" s="34" t="s">
        <v>230</v>
      </c>
      <c r="D115" s="15" t="s">
        <v>229</v>
      </c>
      <c r="E115" s="29"/>
      <c r="F115" s="29"/>
      <c r="G115" s="29"/>
      <c r="H115" s="29"/>
      <c r="I115" s="29"/>
      <c r="J115" s="30" t="s">
        <v>1328</v>
      </c>
      <c r="K115" s="29"/>
      <c r="L115" s="29"/>
      <c r="M115" s="29" t="s">
        <v>1930</v>
      </c>
      <c r="N115" s="14" t="s">
        <v>235</v>
      </c>
      <c r="O115" s="29">
        <v>1</v>
      </c>
      <c r="P115" s="79">
        <f>14000</f>
        <v>14000</v>
      </c>
    </row>
    <row r="116" spans="1:16" ht="47.25">
      <c r="A116" s="11">
        <v>22</v>
      </c>
      <c r="B116" s="11"/>
      <c r="C116" s="36" t="s">
        <v>1991</v>
      </c>
      <c r="D116" s="25" t="s">
        <v>1992</v>
      </c>
      <c r="E116" s="11"/>
      <c r="F116" s="11"/>
      <c r="G116" s="11"/>
      <c r="H116" s="11"/>
      <c r="I116" s="11"/>
      <c r="J116" s="30" t="s">
        <v>1325</v>
      </c>
      <c r="K116" s="11"/>
      <c r="L116" s="11"/>
      <c r="M116" s="29" t="s">
        <v>1930</v>
      </c>
      <c r="N116" s="26">
        <v>43726</v>
      </c>
      <c r="O116" s="11">
        <v>1</v>
      </c>
      <c r="P116" s="79">
        <v>96000</v>
      </c>
    </row>
    <row r="117" spans="1:16" ht="47.25">
      <c r="A117" s="11">
        <v>23</v>
      </c>
      <c r="B117" s="11"/>
      <c r="C117" s="36" t="s">
        <v>1993</v>
      </c>
      <c r="D117" s="25" t="s">
        <v>1994</v>
      </c>
      <c r="E117" s="11"/>
      <c r="F117" s="11"/>
      <c r="G117" s="11"/>
      <c r="H117" s="11"/>
      <c r="I117" s="11"/>
      <c r="J117" s="30" t="s">
        <v>1326</v>
      </c>
      <c r="K117" s="11"/>
      <c r="L117" s="11"/>
      <c r="M117" s="29" t="s">
        <v>1930</v>
      </c>
      <c r="N117" s="26">
        <v>43726</v>
      </c>
      <c r="O117" s="11">
        <v>1</v>
      </c>
      <c r="P117" s="79">
        <v>79000</v>
      </c>
    </row>
    <row r="118" spans="1:16" ht="47.25">
      <c r="A118" s="11">
        <v>24</v>
      </c>
      <c r="B118" s="46"/>
      <c r="C118" s="36" t="s">
        <v>2151</v>
      </c>
      <c r="D118" s="25" t="s">
        <v>2152</v>
      </c>
      <c r="E118" s="29"/>
      <c r="F118" s="29"/>
      <c r="G118" s="29"/>
      <c r="H118" s="29"/>
      <c r="I118" s="29"/>
      <c r="J118" s="30" t="s">
        <v>1328</v>
      </c>
      <c r="K118" s="29"/>
      <c r="L118" s="29"/>
      <c r="M118" s="29" t="s">
        <v>1930</v>
      </c>
      <c r="N118" s="37">
        <v>43810</v>
      </c>
      <c r="O118" s="29">
        <v>1</v>
      </c>
      <c r="P118" s="79">
        <v>41054</v>
      </c>
    </row>
    <row r="119" spans="1:16" ht="47.25">
      <c r="A119" s="46">
        <v>25</v>
      </c>
      <c r="B119" s="46"/>
      <c r="C119" s="36" t="s">
        <v>2525</v>
      </c>
      <c r="D119" s="25" t="s">
        <v>2526</v>
      </c>
      <c r="E119" s="29"/>
      <c r="F119" s="29"/>
      <c r="G119" s="29"/>
      <c r="H119" s="29"/>
      <c r="I119" s="29"/>
      <c r="J119" s="16" t="s">
        <v>1324</v>
      </c>
      <c r="K119" s="29"/>
      <c r="L119" s="29"/>
      <c r="M119" s="29" t="s">
        <v>1930</v>
      </c>
      <c r="N119" s="37">
        <v>44466</v>
      </c>
      <c r="O119" s="29">
        <v>1</v>
      </c>
      <c r="P119" s="79">
        <v>243000</v>
      </c>
    </row>
    <row r="120" spans="1:16" ht="47.25">
      <c r="A120" s="46">
        <v>26</v>
      </c>
      <c r="B120" s="46"/>
      <c r="C120" s="36" t="s">
        <v>2527</v>
      </c>
      <c r="D120" s="25" t="s">
        <v>2528</v>
      </c>
      <c r="E120" s="29"/>
      <c r="F120" s="29"/>
      <c r="G120" s="29"/>
      <c r="H120" s="29"/>
      <c r="I120" s="29"/>
      <c r="J120" s="30" t="s">
        <v>1325</v>
      </c>
      <c r="K120" s="29"/>
      <c r="L120" s="29"/>
      <c r="M120" s="29" t="s">
        <v>1930</v>
      </c>
      <c r="N120" s="37">
        <v>44498</v>
      </c>
      <c r="O120" s="29">
        <v>1</v>
      </c>
      <c r="P120" s="79">
        <v>243000</v>
      </c>
    </row>
    <row r="121" spans="1:16" ht="15.75">
      <c r="A121" s="46">
        <v>27</v>
      </c>
      <c r="B121" s="46"/>
      <c r="C121" s="36" t="s">
        <v>2529</v>
      </c>
      <c r="D121" s="25" t="s">
        <v>2530</v>
      </c>
      <c r="E121" s="29"/>
      <c r="F121" s="29"/>
      <c r="G121" s="29"/>
      <c r="H121" s="29"/>
      <c r="I121" s="29"/>
      <c r="J121" s="30" t="s">
        <v>1328</v>
      </c>
      <c r="K121" s="29"/>
      <c r="L121" s="29"/>
      <c r="M121" s="29" t="s">
        <v>1930</v>
      </c>
      <c r="N121" s="37">
        <v>44515</v>
      </c>
      <c r="O121" s="29">
        <v>1</v>
      </c>
      <c r="P121" s="79">
        <v>52580</v>
      </c>
    </row>
    <row r="122" spans="1:16" ht="15.75">
      <c r="A122" s="46"/>
      <c r="B122" s="46"/>
      <c r="C122" s="36"/>
      <c r="D122" s="25" t="s">
        <v>2477</v>
      </c>
      <c r="E122" s="29"/>
      <c r="F122" s="29"/>
      <c r="G122" s="29"/>
      <c r="H122" s="29"/>
      <c r="I122" s="29"/>
      <c r="J122" s="30"/>
      <c r="K122" s="29"/>
      <c r="L122" s="29"/>
      <c r="M122" s="29"/>
      <c r="N122" s="37"/>
      <c r="O122" s="29">
        <f>SUM(O95:O121)</f>
        <v>27</v>
      </c>
      <c r="P122" s="86">
        <f>SUM(P95:P121)</f>
        <v>1328644</v>
      </c>
    </row>
    <row r="123" spans="1:16" ht="17.25" customHeight="1">
      <c r="A123" s="77" t="s">
        <v>236</v>
      </c>
      <c r="B123" s="77"/>
      <c r="C123" s="77"/>
      <c r="D123" s="77"/>
      <c r="E123" s="41"/>
      <c r="F123" s="41"/>
      <c r="G123" s="41"/>
      <c r="H123" s="41"/>
      <c r="I123" s="41"/>
      <c r="J123" s="41"/>
      <c r="K123" s="41"/>
      <c r="L123" s="41"/>
      <c r="M123" s="42"/>
      <c r="N123" s="42"/>
      <c r="O123" s="43">
        <f>O587+O657+O716</f>
        <v>587</v>
      </c>
      <c r="P123" s="87">
        <f>P587+P657+P716</f>
        <v>688993881.2700002</v>
      </c>
    </row>
    <row r="124" spans="1:18" s="6" customFormat="1" ht="15" customHeight="1">
      <c r="A124" s="78" t="s">
        <v>237</v>
      </c>
      <c r="B124" s="78"/>
      <c r="C124" s="78"/>
      <c r="D124" s="78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88"/>
      <c r="Q124" s="10"/>
      <c r="R124" s="5"/>
    </row>
    <row r="125" spans="1:16" ht="47.25">
      <c r="A125" s="11">
        <v>1</v>
      </c>
      <c r="B125" s="11"/>
      <c r="C125" s="34" t="s">
        <v>248</v>
      </c>
      <c r="D125" s="25" t="s">
        <v>1547</v>
      </c>
      <c r="E125" s="29">
        <v>14</v>
      </c>
      <c r="F125" s="29"/>
      <c r="G125" s="29"/>
      <c r="H125" s="29"/>
      <c r="I125" s="29"/>
      <c r="J125" s="16" t="s">
        <v>1324</v>
      </c>
      <c r="K125" s="29"/>
      <c r="L125" s="29"/>
      <c r="M125" s="30" t="s">
        <v>1932</v>
      </c>
      <c r="N125" s="14" t="s">
        <v>606</v>
      </c>
      <c r="O125" s="29">
        <v>1</v>
      </c>
      <c r="P125" s="79">
        <f>11881.03</f>
        <v>11881.03</v>
      </c>
    </row>
    <row r="126" spans="1:16" ht="31.5">
      <c r="A126" s="11">
        <v>2</v>
      </c>
      <c r="B126" s="11"/>
      <c r="C126" s="34" t="s">
        <v>247</v>
      </c>
      <c r="D126" s="25" t="s">
        <v>1548</v>
      </c>
      <c r="E126" s="29">
        <v>12</v>
      </c>
      <c r="F126" s="29"/>
      <c r="G126" s="29"/>
      <c r="H126" s="29"/>
      <c r="I126" s="29"/>
      <c r="J126" s="16" t="s">
        <v>1324</v>
      </c>
      <c r="K126" s="29"/>
      <c r="L126" s="29"/>
      <c r="M126" s="30" t="s">
        <v>1932</v>
      </c>
      <c r="N126" s="27" t="s">
        <v>1561</v>
      </c>
      <c r="O126" s="29">
        <v>1</v>
      </c>
      <c r="P126" s="79">
        <f>50000</f>
        <v>50000</v>
      </c>
    </row>
    <row r="127" spans="1:16" ht="47.25">
      <c r="A127" s="11">
        <v>3</v>
      </c>
      <c r="B127" s="11"/>
      <c r="C127" s="34" t="s">
        <v>246</v>
      </c>
      <c r="D127" s="25" t="s">
        <v>1549</v>
      </c>
      <c r="E127" s="29"/>
      <c r="F127" s="29"/>
      <c r="G127" s="29"/>
      <c r="H127" s="29"/>
      <c r="I127" s="29"/>
      <c r="J127" s="16" t="s">
        <v>1324</v>
      </c>
      <c r="K127" s="29"/>
      <c r="L127" s="29"/>
      <c r="M127" s="30" t="s">
        <v>1932</v>
      </c>
      <c r="N127" s="14" t="s">
        <v>606</v>
      </c>
      <c r="O127" s="29">
        <v>1</v>
      </c>
      <c r="P127" s="79">
        <f>5237.03</f>
        <v>5237.03</v>
      </c>
    </row>
    <row r="128" spans="1:16" ht="31.5">
      <c r="A128" s="11">
        <v>4</v>
      </c>
      <c r="B128" s="11"/>
      <c r="C128" s="34" t="s">
        <v>245</v>
      </c>
      <c r="D128" s="25" t="s">
        <v>1515</v>
      </c>
      <c r="E128" s="29">
        <v>23</v>
      </c>
      <c r="F128" s="29"/>
      <c r="G128" s="29"/>
      <c r="H128" s="29"/>
      <c r="I128" s="29"/>
      <c r="J128" s="16" t="s">
        <v>1497</v>
      </c>
      <c r="K128" s="15" t="s">
        <v>249</v>
      </c>
      <c r="L128" s="31">
        <v>42030</v>
      </c>
      <c r="M128" s="30" t="s">
        <v>1932</v>
      </c>
      <c r="N128" s="27" t="s">
        <v>1495</v>
      </c>
      <c r="O128" s="29">
        <v>1</v>
      </c>
      <c r="P128" s="79">
        <f>70398.72</f>
        <v>70398.72</v>
      </c>
    </row>
    <row r="129" spans="1:16" ht="47.25">
      <c r="A129" s="11">
        <v>5</v>
      </c>
      <c r="B129" s="11"/>
      <c r="C129" s="34" t="s">
        <v>244</v>
      </c>
      <c r="D129" s="25" t="s">
        <v>1457</v>
      </c>
      <c r="E129" s="29">
        <v>104.2</v>
      </c>
      <c r="F129" s="29"/>
      <c r="G129" s="30" t="s">
        <v>1477</v>
      </c>
      <c r="H129" s="29"/>
      <c r="I129" s="29"/>
      <c r="J129" s="16" t="s">
        <v>1456</v>
      </c>
      <c r="K129" s="15" t="s">
        <v>250</v>
      </c>
      <c r="L129" s="31">
        <v>41234</v>
      </c>
      <c r="M129" s="30" t="s">
        <v>1932</v>
      </c>
      <c r="N129" s="27" t="s">
        <v>1458</v>
      </c>
      <c r="O129" s="29">
        <v>1</v>
      </c>
      <c r="P129" s="79">
        <f>820000</f>
        <v>820000</v>
      </c>
    </row>
    <row r="130" spans="1:16" ht="31.5">
      <c r="A130" s="11">
        <v>6</v>
      </c>
      <c r="B130" s="11"/>
      <c r="C130" s="34" t="s">
        <v>243</v>
      </c>
      <c r="D130" s="25" t="s">
        <v>1499</v>
      </c>
      <c r="E130" s="29">
        <v>311.8</v>
      </c>
      <c r="F130" s="29"/>
      <c r="G130" s="29" t="s">
        <v>1500</v>
      </c>
      <c r="H130" s="29"/>
      <c r="I130" s="29"/>
      <c r="J130" s="16" t="s">
        <v>1498</v>
      </c>
      <c r="K130" s="25" t="s">
        <v>1442</v>
      </c>
      <c r="L130" s="31">
        <v>41977</v>
      </c>
      <c r="M130" s="30" t="s">
        <v>1932</v>
      </c>
      <c r="N130" s="27" t="s">
        <v>1495</v>
      </c>
      <c r="O130" s="29">
        <v>1</v>
      </c>
      <c r="P130" s="79">
        <f>91878.94</f>
        <v>91878.94</v>
      </c>
    </row>
    <row r="131" spans="1:16" ht="31.5">
      <c r="A131" s="11">
        <v>7</v>
      </c>
      <c r="B131" s="11"/>
      <c r="C131" s="34" t="s">
        <v>242</v>
      </c>
      <c r="D131" s="25" t="s">
        <v>1493</v>
      </c>
      <c r="E131" s="29">
        <v>92.3</v>
      </c>
      <c r="F131" s="29"/>
      <c r="G131" s="29" t="s">
        <v>1496</v>
      </c>
      <c r="H131" s="29"/>
      <c r="I131" s="29"/>
      <c r="J131" s="16" t="s">
        <v>1494</v>
      </c>
      <c r="K131" s="15" t="s">
        <v>251</v>
      </c>
      <c r="L131" s="31">
        <v>41977</v>
      </c>
      <c r="M131" s="30" t="s">
        <v>1932</v>
      </c>
      <c r="N131" s="27" t="s">
        <v>1495</v>
      </c>
      <c r="O131" s="29">
        <v>1</v>
      </c>
      <c r="P131" s="79">
        <f>57809.28</f>
        <v>57809.28</v>
      </c>
    </row>
    <row r="132" spans="1:16" ht="31.5">
      <c r="A132" s="11">
        <v>8</v>
      </c>
      <c r="B132" s="11"/>
      <c r="C132" s="34" t="s">
        <v>241</v>
      </c>
      <c r="D132" s="25" t="s">
        <v>1475</v>
      </c>
      <c r="E132" s="29">
        <v>447.6</v>
      </c>
      <c r="F132" s="29"/>
      <c r="G132" s="30" t="s">
        <v>1478</v>
      </c>
      <c r="H132" s="29"/>
      <c r="I132" s="29"/>
      <c r="J132" s="16" t="s">
        <v>1476</v>
      </c>
      <c r="K132" s="15" t="s">
        <v>252</v>
      </c>
      <c r="L132" s="31">
        <v>40883</v>
      </c>
      <c r="M132" s="30" t="s">
        <v>1932</v>
      </c>
      <c r="N132" s="27" t="s">
        <v>1479</v>
      </c>
      <c r="O132" s="29">
        <v>1</v>
      </c>
      <c r="P132" s="79">
        <f>864000</f>
        <v>864000</v>
      </c>
    </row>
    <row r="133" spans="1:16" ht="31.5">
      <c r="A133" s="11">
        <v>9</v>
      </c>
      <c r="B133" s="11"/>
      <c r="C133" s="34" t="s">
        <v>240</v>
      </c>
      <c r="D133" s="25" t="s">
        <v>1480</v>
      </c>
      <c r="E133" s="29">
        <v>464.8</v>
      </c>
      <c r="F133" s="29"/>
      <c r="G133" s="30" t="s">
        <v>1482</v>
      </c>
      <c r="H133" s="29"/>
      <c r="I133" s="29"/>
      <c r="J133" s="16" t="s">
        <v>1481</v>
      </c>
      <c r="K133" s="15" t="s">
        <v>253</v>
      </c>
      <c r="L133" s="31">
        <v>40883</v>
      </c>
      <c r="M133" s="30" t="s">
        <v>1932</v>
      </c>
      <c r="N133" s="27" t="s">
        <v>1479</v>
      </c>
      <c r="O133" s="29">
        <v>1</v>
      </c>
      <c r="P133" s="79">
        <f>725000</f>
        <v>725000</v>
      </c>
    </row>
    <row r="134" spans="1:16" ht="47.25">
      <c r="A134" s="11">
        <v>10</v>
      </c>
      <c r="B134" s="11"/>
      <c r="C134" s="34" t="s">
        <v>239</v>
      </c>
      <c r="D134" s="25" t="s">
        <v>1543</v>
      </c>
      <c r="E134" s="29"/>
      <c r="F134" s="29"/>
      <c r="G134" s="29" t="s">
        <v>1542</v>
      </c>
      <c r="H134" s="29"/>
      <c r="I134" s="29"/>
      <c r="J134" s="16" t="s">
        <v>1544</v>
      </c>
      <c r="K134" s="30" t="s">
        <v>1545</v>
      </c>
      <c r="L134" s="31">
        <v>43500</v>
      </c>
      <c r="M134" s="30" t="s">
        <v>1932</v>
      </c>
      <c r="N134" s="27" t="s">
        <v>1546</v>
      </c>
      <c r="O134" s="29">
        <v>1</v>
      </c>
      <c r="P134" s="79">
        <f>883021.83</f>
        <v>883021.83</v>
      </c>
    </row>
    <row r="135" spans="1:16" ht="31.5">
      <c r="A135" s="11">
        <v>11</v>
      </c>
      <c r="B135" s="11"/>
      <c r="C135" s="34" t="s">
        <v>238</v>
      </c>
      <c r="D135" s="25" t="s">
        <v>1550</v>
      </c>
      <c r="E135" s="29"/>
      <c r="F135" s="29"/>
      <c r="G135" s="29"/>
      <c r="H135" s="29"/>
      <c r="I135" s="29"/>
      <c r="J135" s="16" t="s">
        <v>1324</v>
      </c>
      <c r="K135" s="29"/>
      <c r="L135" s="29"/>
      <c r="M135" s="29" t="s">
        <v>1933</v>
      </c>
      <c r="N135" s="27" t="s">
        <v>1551</v>
      </c>
      <c r="O135" s="29">
        <v>1</v>
      </c>
      <c r="P135" s="79">
        <f>174036.22</f>
        <v>174036.22</v>
      </c>
    </row>
    <row r="136" spans="1:16" ht="47.25">
      <c r="A136" s="11">
        <v>12</v>
      </c>
      <c r="B136" s="11"/>
      <c r="C136" s="34" t="s">
        <v>1323</v>
      </c>
      <c r="D136" s="15" t="s">
        <v>1322</v>
      </c>
      <c r="E136" s="29">
        <v>76.8</v>
      </c>
      <c r="F136" s="29"/>
      <c r="G136" s="30" t="s">
        <v>1570</v>
      </c>
      <c r="H136" s="29"/>
      <c r="I136" s="29"/>
      <c r="J136" s="30" t="s">
        <v>1325</v>
      </c>
      <c r="K136" s="30" t="s">
        <v>1571</v>
      </c>
      <c r="L136" s="31">
        <v>42746</v>
      </c>
      <c r="M136" s="29" t="s">
        <v>1934</v>
      </c>
      <c r="N136" s="27" t="s">
        <v>1572</v>
      </c>
      <c r="O136" s="29">
        <v>1</v>
      </c>
      <c r="P136" s="79">
        <f>4464848</f>
        <v>4464848</v>
      </c>
    </row>
    <row r="137" spans="1:16" ht="47.25">
      <c r="A137" s="11">
        <v>13</v>
      </c>
      <c r="B137" s="11"/>
      <c r="C137" s="34" t="s">
        <v>467</v>
      </c>
      <c r="D137" s="15" t="s">
        <v>466</v>
      </c>
      <c r="E137" s="29">
        <v>17.8</v>
      </c>
      <c r="F137" s="29"/>
      <c r="G137" s="30" t="s">
        <v>1715</v>
      </c>
      <c r="H137" s="29"/>
      <c r="I137" s="29"/>
      <c r="J137" s="30" t="s">
        <v>1327</v>
      </c>
      <c r="K137" s="15" t="s">
        <v>468</v>
      </c>
      <c r="L137" s="31">
        <v>42045</v>
      </c>
      <c r="M137" s="29" t="s">
        <v>1934</v>
      </c>
      <c r="N137" s="26" t="s">
        <v>1716</v>
      </c>
      <c r="O137" s="29">
        <v>1</v>
      </c>
      <c r="P137" s="79">
        <f>228000</f>
        <v>228000</v>
      </c>
    </row>
    <row r="138" spans="1:16" ht="33.75" customHeight="1">
      <c r="A138" s="11">
        <v>14</v>
      </c>
      <c r="B138" s="11"/>
      <c r="C138" s="34" t="s">
        <v>465</v>
      </c>
      <c r="D138" s="15" t="s">
        <v>464</v>
      </c>
      <c r="E138" s="29">
        <v>75</v>
      </c>
      <c r="F138" s="29"/>
      <c r="G138" s="30" t="s">
        <v>1675</v>
      </c>
      <c r="H138" s="29"/>
      <c r="I138" s="29"/>
      <c r="J138" s="30" t="s">
        <v>1325</v>
      </c>
      <c r="K138" s="15" t="s">
        <v>469</v>
      </c>
      <c r="L138" s="31">
        <v>41617</v>
      </c>
      <c r="M138" s="29" t="s">
        <v>1934</v>
      </c>
      <c r="N138" s="27" t="s">
        <v>470</v>
      </c>
      <c r="O138" s="29">
        <v>1</v>
      </c>
      <c r="P138" s="79">
        <f>1217000</f>
        <v>1217000</v>
      </c>
    </row>
    <row r="139" spans="1:16" ht="31.5">
      <c r="A139" s="11">
        <v>15</v>
      </c>
      <c r="B139" s="11"/>
      <c r="C139" s="34" t="s">
        <v>463</v>
      </c>
      <c r="D139" s="15" t="s">
        <v>462</v>
      </c>
      <c r="E139" s="29">
        <v>78.7</v>
      </c>
      <c r="F139" s="29"/>
      <c r="G139" s="30" t="s">
        <v>1676</v>
      </c>
      <c r="H139" s="29"/>
      <c r="I139" s="29"/>
      <c r="J139" s="30" t="s">
        <v>1325</v>
      </c>
      <c r="K139" s="15" t="s">
        <v>471</v>
      </c>
      <c r="L139" s="31">
        <v>41852</v>
      </c>
      <c r="M139" s="29" t="s">
        <v>1934</v>
      </c>
      <c r="N139" s="27" t="s">
        <v>1677</v>
      </c>
      <c r="O139" s="29">
        <v>1</v>
      </c>
      <c r="P139" s="79">
        <f>1213000</f>
        <v>1213000</v>
      </c>
    </row>
    <row r="140" spans="1:16" ht="47.25">
      <c r="A140" s="11">
        <v>16</v>
      </c>
      <c r="B140" s="11"/>
      <c r="C140" s="34" t="s">
        <v>461</v>
      </c>
      <c r="D140" s="15" t="s">
        <v>460</v>
      </c>
      <c r="E140" s="29">
        <v>60.4</v>
      </c>
      <c r="F140" s="29"/>
      <c r="G140" s="29"/>
      <c r="H140" s="29"/>
      <c r="I140" s="29"/>
      <c r="J140" s="30" t="s">
        <v>1325</v>
      </c>
      <c r="K140" s="25" t="s">
        <v>1678</v>
      </c>
      <c r="L140" s="31">
        <v>42642</v>
      </c>
      <c r="M140" s="29" t="s">
        <v>1934</v>
      </c>
      <c r="N140" s="27" t="s">
        <v>1679</v>
      </c>
      <c r="O140" s="29">
        <v>1</v>
      </c>
      <c r="P140" s="79">
        <f>3435060</f>
        <v>3435060</v>
      </c>
    </row>
    <row r="141" spans="1:16" ht="47.25">
      <c r="A141" s="11">
        <v>17</v>
      </c>
      <c r="B141" s="11"/>
      <c r="C141" s="34" t="s">
        <v>459</v>
      </c>
      <c r="D141" s="15" t="s">
        <v>458</v>
      </c>
      <c r="E141" s="29">
        <v>58.1</v>
      </c>
      <c r="F141" s="29"/>
      <c r="G141" s="29"/>
      <c r="H141" s="29"/>
      <c r="I141" s="29"/>
      <c r="J141" s="30" t="s">
        <v>1325</v>
      </c>
      <c r="K141" s="25" t="s">
        <v>1680</v>
      </c>
      <c r="L141" s="31">
        <v>42647</v>
      </c>
      <c r="M141" s="29" t="s">
        <v>1934</v>
      </c>
      <c r="N141" s="27" t="s">
        <v>1679</v>
      </c>
      <c r="O141" s="29">
        <v>1</v>
      </c>
      <c r="P141" s="79">
        <f>3320558</f>
        <v>3320558</v>
      </c>
    </row>
    <row r="142" spans="1:16" ht="47.25">
      <c r="A142" s="11">
        <v>18</v>
      </c>
      <c r="B142" s="11"/>
      <c r="C142" s="34" t="s">
        <v>457</v>
      </c>
      <c r="D142" s="15" t="s">
        <v>456</v>
      </c>
      <c r="E142" s="29">
        <v>76.6</v>
      </c>
      <c r="F142" s="29"/>
      <c r="G142" s="29"/>
      <c r="H142" s="29"/>
      <c r="I142" s="29"/>
      <c r="J142" s="30" t="s">
        <v>1325</v>
      </c>
      <c r="K142" s="25" t="s">
        <v>1681</v>
      </c>
      <c r="L142" s="31">
        <v>42647</v>
      </c>
      <c r="M142" s="29" t="s">
        <v>1934</v>
      </c>
      <c r="N142" s="27" t="s">
        <v>1679</v>
      </c>
      <c r="O142" s="29">
        <v>1</v>
      </c>
      <c r="P142" s="79">
        <f>4351076</f>
        <v>4351076</v>
      </c>
    </row>
    <row r="143" spans="1:16" ht="47.25">
      <c r="A143" s="11">
        <v>19</v>
      </c>
      <c r="B143" s="11"/>
      <c r="C143" s="34" t="s">
        <v>455</v>
      </c>
      <c r="D143" s="15" t="s">
        <v>454</v>
      </c>
      <c r="E143" s="29">
        <v>58.7</v>
      </c>
      <c r="F143" s="29"/>
      <c r="G143" s="29"/>
      <c r="H143" s="29"/>
      <c r="I143" s="29"/>
      <c r="J143" s="30" t="s">
        <v>1325</v>
      </c>
      <c r="K143" s="25" t="s">
        <v>1682</v>
      </c>
      <c r="L143" s="31">
        <v>42647</v>
      </c>
      <c r="M143" s="29" t="s">
        <v>1934</v>
      </c>
      <c r="N143" s="27" t="s">
        <v>1679</v>
      </c>
      <c r="O143" s="29">
        <v>1</v>
      </c>
      <c r="P143" s="79">
        <f>3320558</f>
        <v>3320558</v>
      </c>
    </row>
    <row r="144" spans="1:16" ht="47.25">
      <c r="A144" s="11">
        <v>20</v>
      </c>
      <c r="B144" s="11"/>
      <c r="C144" s="36" t="s">
        <v>1956</v>
      </c>
      <c r="D144" s="25" t="s">
        <v>1957</v>
      </c>
      <c r="E144" s="29">
        <v>58.7</v>
      </c>
      <c r="F144" s="29"/>
      <c r="G144" s="29" t="s">
        <v>1958</v>
      </c>
      <c r="H144" s="29"/>
      <c r="I144" s="29"/>
      <c r="J144" s="30" t="s">
        <v>1328</v>
      </c>
      <c r="K144" s="30" t="s">
        <v>1959</v>
      </c>
      <c r="L144" s="31">
        <v>43494</v>
      </c>
      <c r="M144" s="29" t="s">
        <v>1934</v>
      </c>
      <c r="N144" s="27" t="s">
        <v>1960</v>
      </c>
      <c r="O144" s="29">
        <v>1</v>
      </c>
      <c r="P144" s="79">
        <v>1385000</v>
      </c>
    </row>
    <row r="145" spans="1:16" ht="78.75" customHeight="1">
      <c r="A145" s="11">
        <v>21</v>
      </c>
      <c r="B145" s="11"/>
      <c r="C145" s="34" t="s">
        <v>453</v>
      </c>
      <c r="D145" s="15" t="s">
        <v>452</v>
      </c>
      <c r="E145" s="29">
        <v>37.1</v>
      </c>
      <c r="F145" s="29"/>
      <c r="G145" s="30" t="s">
        <v>1569</v>
      </c>
      <c r="H145" s="29"/>
      <c r="I145" s="29"/>
      <c r="J145" s="30" t="s">
        <v>1325</v>
      </c>
      <c r="K145" s="15" t="s">
        <v>473</v>
      </c>
      <c r="L145" s="31">
        <v>41207</v>
      </c>
      <c r="M145" s="29" t="s">
        <v>1934</v>
      </c>
      <c r="N145" s="14" t="s">
        <v>472</v>
      </c>
      <c r="O145" s="29">
        <v>1</v>
      </c>
      <c r="P145" s="79">
        <f>33822.02</f>
        <v>33822.02</v>
      </c>
    </row>
    <row r="146" spans="1:16" ht="86.25" customHeight="1">
      <c r="A146" s="11">
        <v>22</v>
      </c>
      <c r="B146" s="11"/>
      <c r="C146" s="34" t="s">
        <v>451</v>
      </c>
      <c r="D146" s="15" t="s">
        <v>450</v>
      </c>
      <c r="E146" s="29">
        <v>39.3</v>
      </c>
      <c r="F146" s="29"/>
      <c r="G146" s="30" t="s">
        <v>1440</v>
      </c>
      <c r="H146" s="29"/>
      <c r="I146" s="29"/>
      <c r="J146" s="30" t="s">
        <v>1325</v>
      </c>
      <c r="K146" s="15" t="s">
        <v>474</v>
      </c>
      <c r="L146" s="31">
        <v>41234</v>
      </c>
      <c r="M146" s="29" t="s">
        <v>1934</v>
      </c>
      <c r="N146" s="14" t="s">
        <v>472</v>
      </c>
      <c r="O146" s="29">
        <v>1</v>
      </c>
      <c r="P146" s="79">
        <f>34749.2</f>
        <v>34749.2</v>
      </c>
    </row>
    <row r="147" spans="1:16" ht="78.75" customHeight="1">
      <c r="A147" s="11">
        <v>23</v>
      </c>
      <c r="B147" s="11"/>
      <c r="C147" s="34" t="s">
        <v>449</v>
      </c>
      <c r="D147" s="15" t="s">
        <v>448</v>
      </c>
      <c r="E147" s="29">
        <v>40.8</v>
      </c>
      <c r="F147" s="29"/>
      <c r="G147" s="30" t="s">
        <v>1441</v>
      </c>
      <c r="H147" s="29"/>
      <c r="I147" s="29"/>
      <c r="J147" s="30" t="s">
        <v>1325</v>
      </c>
      <c r="K147" s="15" t="s">
        <v>475</v>
      </c>
      <c r="L147" s="31">
        <v>41234</v>
      </c>
      <c r="M147" s="29" t="s">
        <v>1934</v>
      </c>
      <c r="N147" s="14" t="s">
        <v>472</v>
      </c>
      <c r="O147" s="29">
        <v>1</v>
      </c>
      <c r="P147" s="79">
        <f>36128.8</f>
        <v>36128.8</v>
      </c>
    </row>
    <row r="148" spans="1:16" ht="47.25" customHeight="1">
      <c r="A148" s="11">
        <v>24</v>
      </c>
      <c r="B148" s="11"/>
      <c r="C148" s="34" t="s">
        <v>447</v>
      </c>
      <c r="D148" s="15" t="s">
        <v>446</v>
      </c>
      <c r="E148" s="29">
        <v>79.5</v>
      </c>
      <c r="F148" s="29"/>
      <c r="G148" s="30" t="s">
        <v>1574</v>
      </c>
      <c r="H148" s="29"/>
      <c r="I148" s="29"/>
      <c r="J148" s="30" t="s">
        <v>1325</v>
      </c>
      <c r="K148" s="30" t="s">
        <v>1573</v>
      </c>
      <c r="L148" s="31">
        <v>43174</v>
      </c>
      <c r="M148" s="29" t="s">
        <v>1934</v>
      </c>
      <c r="N148" s="27" t="s">
        <v>1575</v>
      </c>
      <c r="O148" s="29">
        <v>1</v>
      </c>
      <c r="P148" s="79">
        <f>630000</f>
        <v>630000</v>
      </c>
    </row>
    <row r="149" spans="1:16" ht="47.25">
      <c r="A149" s="11">
        <v>25</v>
      </c>
      <c r="B149" s="11"/>
      <c r="C149" s="34" t="s">
        <v>445</v>
      </c>
      <c r="D149" s="15" t="s">
        <v>444</v>
      </c>
      <c r="E149" s="29">
        <v>45.6</v>
      </c>
      <c r="F149" s="29"/>
      <c r="G149" s="30" t="s">
        <v>1576</v>
      </c>
      <c r="H149" s="29"/>
      <c r="I149" s="29"/>
      <c r="J149" s="30" t="s">
        <v>1325</v>
      </c>
      <c r="K149" s="15" t="s">
        <v>476</v>
      </c>
      <c r="L149" s="31">
        <v>41614</v>
      </c>
      <c r="M149" s="29" t="s">
        <v>1934</v>
      </c>
      <c r="N149" s="27" t="s">
        <v>477</v>
      </c>
      <c r="O149" s="29">
        <v>1</v>
      </c>
      <c r="P149" s="79">
        <f>2001612</f>
        <v>2001612</v>
      </c>
    </row>
    <row r="150" spans="1:16" ht="47.25">
      <c r="A150" s="11">
        <v>26</v>
      </c>
      <c r="B150" s="11"/>
      <c r="C150" s="34" t="s">
        <v>443</v>
      </c>
      <c r="D150" s="15" t="s">
        <v>442</v>
      </c>
      <c r="E150" s="29">
        <v>73.9</v>
      </c>
      <c r="F150" s="29"/>
      <c r="G150" s="30" t="s">
        <v>1577</v>
      </c>
      <c r="H150" s="29"/>
      <c r="I150" s="29"/>
      <c r="J150" s="30" t="s">
        <v>1325</v>
      </c>
      <c r="K150" s="15" t="s">
        <v>478</v>
      </c>
      <c r="L150" s="31">
        <v>41612</v>
      </c>
      <c r="M150" s="29" t="s">
        <v>1934</v>
      </c>
      <c r="N150" s="14" t="s">
        <v>477</v>
      </c>
      <c r="O150" s="29">
        <v>1</v>
      </c>
      <c r="P150" s="79">
        <f>3243840.5</f>
        <v>3243840.5</v>
      </c>
    </row>
    <row r="151" spans="1:16" ht="47.25">
      <c r="A151" s="11">
        <v>27</v>
      </c>
      <c r="B151" s="11"/>
      <c r="C151" s="34" t="s">
        <v>441</v>
      </c>
      <c r="D151" s="15" t="s">
        <v>440</v>
      </c>
      <c r="E151" s="29">
        <v>73.6</v>
      </c>
      <c r="F151" s="29"/>
      <c r="G151" s="30" t="s">
        <v>1578</v>
      </c>
      <c r="H151" s="29"/>
      <c r="I151" s="29"/>
      <c r="J151" s="30" t="s">
        <v>1325</v>
      </c>
      <c r="K151" s="15" t="s">
        <v>479</v>
      </c>
      <c r="L151" s="31">
        <v>41615</v>
      </c>
      <c r="M151" s="29" t="s">
        <v>1934</v>
      </c>
      <c r="N151" s="27" t="s">
        <v>477</v>
      </c>
      <c r="O151" s="29">
        <v>1</v>
      </c>
      <c r="P151" s="79">
        <f>3230672</f>
        <v>3230672</v>
      </c>
    </row>
    <row r="152" spans="1:16" ht="47.25">
      <c r="A152" s="11">
        <v>28</v>
      </c>
      <c r="B152" s="11"/>
      <c r="C152" s="34" t="s">
        <v>439</v>
      </c>
      <c r="D152" s="15" t="s">
        <v>438</v>
      </c>
      <c r="E152" s="29">
        <v>77.6</v>
      </c>
      <c r="F152" s="29"/>
      <c r="G152" s="30" t="s">
        <v>1579</v>
      </c>
      <c r="H152" s="29"/>
      <c r="I152" s="29"/>
      <c r="J152" s="30" t="s">
        <v>1325</v>
      </c>
      <c r="K152" s="15" t="s">
        <v>480</v>
      </c>
      <c r="L152" s="31">
        <v>41611</v>
      </c>
      <c r="M152" s="29" t="s">
        <v>1934</v>
      </c>
      <c r="N152" s="27" t="s">
        <v>477</v>
      </c>
      <c r="O152" s="29">
        <v>1</v>
      </c>
      <c r="P152" s="79">
        <f>3406252</f>
        <v>3406252</v>
      </c>
    </row>
    <row r="153" spans="1:16" ht="81" customHeight="1">
      <c r="A153" s="11">
        <v>29</v>
      </c>
      <c r="B153" s="11"/>
      <c r="C153" s="34" t="s">
        <v>437</v>
      </c>
      <c r="D153" s="15" t="s">
        <v>436</v>
      </c>
      <c r="E153" s="29">
        <v>75.2</v>
      </c>
      <c r="F153" s="29"/>
      <c r="G153" s="30" t="s">
        <v>1580</v>
      </c>
      <c r="H153" s="29"/>
      <c r="I153" s="29"/>
      <c r="J153" s="30" t="s">
        <v>1325</v>
      </c>
      <c r="K153" s="15" t="s">
        <v>482</v>
      </c>
      <c r="L153" s="31">
        <v>41211</v>
      </c>
      <c r="M153" s="29" t="s">
        <v>1934</v>
      </c>
      <c r="N153" s="14" t="s">
        <v>481</v>
      </c>
      <c r="O153" s="29">
        <v>1</v>
      </c>
      <c r="P153" s="79">
        <f>2616952.8</f>
        <v>2616952.8</v>
      </c>
    </row>
    <row r="154" spans="1:16" ht="81" customHeight="1">
      <c r="A154" s="11">
        <v>30</v>
      </c>
      <c r="B154" s="11"/>
      <c r="C154" s="34" t="s">
        <v>435</v>
      </c>
      <c r="D154" s="15" t="s">
        <v>434</v>
      </c>
      <c r="E154" s="29">
        <v>58.3</v>
      </c>
      <c r="F154" s="29"/>
      <c r="G154" s="30" t="s">
        <v>1581</v>
      </c>
      <c r="H154" s="29"/>
      <c r="I154" s="29"/>
      <c r="J154" s="30" t="s">
        <v>1325</v>
      </c>
      <c r="K154" s="15" t="s">
        <v>483</v>
      </c>
      <c r="L154" s="31">
        <v>41211</v>
      </c>
      <c r="M154" s="29" t="s">
        <v>1934</v>
      </c>
      <c r="N154" s="14" t="s">
        <v>481</v>
      </c>
      <c r="O154" s="29">
        <v>1</v>
      </c>
      <c r="P154" s="79">
        <f>1953551.6</f>
        <v>1953551.6</v>
      </c>
    </row>
    <row r="155" spans="1:16" ht="86.25" customHeight="1">
      <c r="A155" s="11">
        <v>31</v>
      </c>
      <c r="B155" s="11"/>
      <c r="C155" s="34" t="s">
        <v>433</v>
      </c>
      <c r="D155" s="15" t="s">
        <v>432</v>
      </c>
      <c r="E155" s="29">
        <v>76.6</v>
      </c>
      <c r="F155" s="29"/>
      <c r="G155" s="30" t="s">
        <v>1582</v>
      </c>
      <c r="H155" s="29"/>
      <c r="I155" s="29"/>
      <c r="J155" s="30" t="s">
        <v>1325</v>
      </c>
      <c r="K155" s="15" t="s">
        <v>484</v>
      </c>
      <c r="L155" s="31">
        <v>41211</v>
      </c>
      <c r="M155" s="29" t="s">
        <v>1934</v>
      </c>
      <c r="N155" s="14" t="s">
        <v>481</v>
      </c>
      <c r="O155" s="29">
        <v>1</v>
      </c>
      <c r="P155" s="79">
        <f>2616952.8</f>
        <v>2616952.8</v>
      </c>
    </row>
    <row r="156" spans="1:16" ht="82.5" customHeight="1">
      <c r="A156" s="11">
        <v>32</v>
      </c>
      <c r="B156" s="11"/>
      <c r="C156" s="34" t="s">
        <v>431</v>
      </c>
      <c r="D156" s="15" t="s">
        <v>430</v>
      </c>
      <c r="E156" s="29">
        <v>59.6</v>
      </c>
      <c r="F156" s="29"/>
      <c r="G156" s="30" t="s">
        <v>1583</v>
      </c>
      <c r="H156" s="29"/>
      <c r="I156" s="29"/>
      <c r="J156" s="30" t="s">
        <v>1325</v>
      </c>
      <c r="K156" s="15" t="s">
        <v>485</v>
      </c>
      <c r="L156" s="31">
        <v>41234</v>
      </c>
      <c r="M156" s="29" t="s">
        <v>1934</v>
      </c>
      <c r="N156" s="14" t="s">
        <v>472</v>
      </c>
      <c r="O156" s="29">
        <v>1</v>
      </c>
      <c r="P156" s="79">
        <f>670932.66</f>
        <v>670932.66</v>
      </c>
    </row>
    <row r="157" spans="1:16" ht="84.75" customHeight="1">
      <c r="A157" s="11">
        <v>33</v>
      </c>
      <c r="B157" s="11"/>
      <c r="C157" s="34" t="s">
        <v>429</v>
      </c>
      <c r="D157" s="15" t="s">
        <v>428</v>
      </c>
      <c r="E157" s="29">
        <v>27.1</v>
      </c>
      <c r="F157" s="29"/>
      <c r="G157" s="30" t="s">
        <v>1584</v>
      </c>
      <c r="H157" s="29"/>
      <c r="I157" s="29"/>
      <c r="J157" s="30" t="s">
        <v>1325</v>
      </c>
      <c r="K157" s="15" t="s">
        <v>486</v>
      </c>
      <c r="L157" s="31">
        <v>41234</v>
      </c>
      <c r="M157" s="29" t="s">
        <v>1934</v>
      </c>
      <c r="N157" s="14" t="s">
        <v>472</v>
      </c>
      <c r="O157" s="29">
        <v>1</v>
      </c>
      <c r="P157" s="79">
        <f>223644.22</f>
        <v>223644.22</v>
      </c>
    </row>
    <row r="158" spans="1:16" ht="84.75" customHeight="1">
      <c r="A158" s="11">
        <v>34</v>
      </c>
      <c r="B158" s="11"/>
      <c r="C158" s="34" t="s">
        <v>427</v>
      </c>
      <c r="D158" s="15" t="s">
        <v>426</v>
      </c>
      <c r="E158" s="29">
        <v>27.6</v>
      </c>
      <c r="F158" s="29"/>
      <c r="G158" s="30" t="s">
        <v>1585</v>
      </c>
      <c r="H158" s="29"/>
      <c r="I158" s="29"/>
      <c r="J158" s="30" t="s">
        <v>1325</v>
      </c>
      <c r="K158" s="15" t="s">
        <v>487</v>
      </c>
      <c r="L158" s="31">
        <v>41212</v>
      </c>
      <c r="M158" s="29" t="s">
        <v>1934</v>
      </c>
      <c r="N158" s="14" t="s">
        <v>472</v>
      </c>
      <c r="O158" s="29">
        <v>1</v>
      </c>
      <c r="P158" s="79">
        <f>223644.22</f>
        <v>223644.22</v>
      </c>
    </row>
    <row r="159" spans="1:16" ht="84" customHeight="1">
      <c r="A159" s="11">
        <v>35</v>
      </c>
      <c r="B159" s="11"/>
      <c r="C159" s="34" t="s">
        <v>425</v>
      </c>
      <c r="D159" s="15" t="s">
        <v>424</v>
      </c>
      <c r="E159" s="29">
        <v>27.2</v>
      </c>
      <c r="F159" s="29"/>
      <c r="G159" s="30" t="s">
        <v>1586</v>
      </c>
      <c r="H159" s="29"/>
      <c r="I159" s="29"/>
      <c r="J159" s="30" t="s">
        <v>1325</v>
      </c>
      <c r="K159" s="15" t="s">
        <v>488</v>
      </c>
      <c r="L159" s="31">
        <v>41212</v>
      </c>
      <c r="M159" s="29" t="s">
        <v>1934</v>
      </c>
      <c r="N159" s="14" t="s">
        <v>472</v>
      </c>
      <c r="O159" s="29">
        <v>1</v>
      </c>
      <c r="P159" s="79">
        <f>223644.22</f>
        <v>223644.22</v>
      </c>
    </row>
    <row r="160" spans="1:16" ht="42.75" customHeight="1">
      <c r="A160" s="11">
        <v>36</v>
      </c>
      <c r="B160" s="11"/>
      <c r="C160" s="34" t="s">
        <v>423</v>
      </c>
      <c r="D160" s="15" t="s">
        <v>422</v>
      </c>
      <c r="E160" s="29">
        <v>38.8</v>
      </c>
      <c r="F160" s="29"/>
      <c r="G160" s="30" t="s">
        <v>1587</v>
      </c>
      <c r="H160" s="29"/>
      <c r="I160" s="29"/>
      <c r="J160" s="30" t="s">
        <v>1325</v>
      </c>
      <c r="K160" s="15" t="s">
        <v>489</v>
      </c>
      <c r="L160" s="31">
        <v>41235</v>
      </c>
      <c r="M160" s="29" t="s">
        <v>1934</v>
      </c>
      <c r="N160" s="27" t="s">
        <v>1588</v>
      </c>
      <c r="O160" s="29">
        <v>1</v>
      </c>
      <c r="P160" s="79">
        <f>507000</f>
        <v>507000</v>
      </c>
    </row>
    <row r="161" spans="1:16" ht="47.25">
      <c r="A161" s="11">
        <v>37</v>
      </c>
      <c r="B161" s="11"/>
      <c r="C161" s="34" t="s">
        <v>421</v>
      </c>
      <c r="D161" s="15" t="s">
        <v>420</v>
      </c>
      <c r="E161" s="29">
        <v>38.3</v>
      </c>
      <c r="F161" s="29"/>
      <c r="G161" s="30" t="s">
        <v>1589</v>
      </c>
      <c r="H161" s="29"/>
      <c r="I161" s="29"/>
      <c r="J161" s="30" t="s">
        <v>1325</v>
      </c>
      <c r="K161" s="15" t="s">
        <v>491</v>
      </c>
      <c r="L161" s="31">
        <v>42044</v>
      </c>
      <c r="M161" s="29" t="s">
        <v>1934</v>
      </c>
      <c r="N161" s="14" t="s">
        <v>490</v>
      </c>
      <c r="O161" s="29">
        <v>1</v>
      </c>
      <c r="P161" s="79">
        <f>473000</f>
        <v>473000</v>
      </c>
    </row>
    <row r="162" spans="1:16" ht="47.25">
      <c r="A162" s="11">
        <v>38</v>
      </c>
      <c r="B162" s="11"/>
      <c r="C162" s="34" t="s">
        <v>419</v>
      </c>
      <c r="D162" s="15" t="s">
        <v>418</v>
      </c>
      <c r="E162" s="29">
        <v>37.4</v>
      </c>
      <c r="F162" s="29"/>
      <c r="G162" s="30" t="s">
        <v>1590</v>
      </c>
      <c r="H162" s="29"/>
      <c r="I162" s="29"/>
      <c r="J162" s="30" t="s">
        <v>1325</v>
      </c>
      <c r="K162" s="15" t="s">
        <v>493</v>
      </c>
      <c r="L162" s="31">
        <v>42044</v>
      </c>
      <c r="M162" s="29" t="s">
        <v>1934</v>
      </c>
      <c r="N162" s="14" t="s">
        <v>492</v>
      </c>
      <c r="O162" s="29">
        <v>1</v>
      </c>
      <c r="P162" s="79">
        <f>466000</f>
        <v>466000</v>
      </c>
    </row>
    <row r="163" spans="1:16" ht="94.5">
      <c r="A163" s="11">
        <v>39</v>
      </c>
      <c r="B163" s="11"/>
      <c r="C163" s="34" t="s">
        <v>417</v>
      </c>
      <c r="D163" s="15" t="s">
        <v>416</v>
      </c>
      <c r="E163" s="29">
        <v>38.4</v>
      </c>
      <c r="F163" s="29"/>
      <c r="G163" s="29"/>
      <c r="H163" s="29"/>
      <c r="I163" s="29"/>
      <c r="J163" s="30" t="s">
        <v>1328</v>
      </c>
      <c r="K163" s="15"/>
      <c r="L163" s="29"/>
      <c r="M163" s="29" t="s">
        <v>1934</v>
      </c>
      <c r="N163" s="14" t="s">
        <v>472</v>
      </c>
      <c r="O163" s="29">
        <v>1</v>
      </c>
      <c r="P163" s="79">
        <f>91392</f>
        <v>91392</v>
      </c>
    </row>
    <row r="164" spans="1:16" ht="31.5">
      <c r="A164" s="11">
        <v>40</v>
      </c>
      <c r="B164" s="11"/>
      <c r="C164" s="34" t="s">
        <v>415</v>
      </c>
      <c r="D164" s="15" t="s">
        <v>414</v>
      </c>
      <c r="E164" s="29">
        <v>57.6</v>
      </c>
      <c r="F164" s="29"/>
      <c r="G164" s="30" t="s">
        <v>1756</v>
      </c>
      <c r="H164" s="29"/>
      <c r="I164" s="29"/>
      <c r="J164" s="30" t="s">
        <v>1328</v>
      </c>
      <c r="K164" s="15" t="s">
        <v>495</v>
      </c>
      <c r="L164" s="31">
        <v>39666</v>
      </c>
      <c r="M164" s="29" t="s">
        <v>1934</v>
      </c>
      <c r="N164" s="14" t="s">
        <v>494</v>
      </c>
      <c r="O164" s="29">
        <v>1</v>
      </c>
      <c r="P164" s="79">
        <f>128217.02</f>
        <v>128217.02</v>
      </c>
    </row>
    <row r="165" spans="1:16" ht="48.75" customHeight="1">
      <c r="A165" s="11">
        <v>41</v>
      </c>
      <c r="B165" s="11"/>
      <c r="C165" s="36" t="s">
        <v>2285</v>
      </c>
      <c r="D165" s="25" t="s">
        <v>2286</v>
      </c>
      <c r="E165" s="29">
        <v>50.7</v>
      </c>
      <c r="F165" s="29"/>
      <c r="G165" s="30" t="s">
        <v>2287</v>
      </c>
      <c r="H165" s="29"/>
      <c r="I165" s="29"/>
      <c r="J165" s="30" t="s">
        <v>1328</v>
      </c>
      <c r="K165" s="30" t="s">
        <v>2332</v>
      </c>
      <c r="L165" s="31">
        <v>43913</v>
      </c>
      <c r="M165" s="29" t="s">
        <v>1934</v>
      </c>
      <c r="N165" s="27" t="s">
        <v>2288</v>
      </c>
      <c r="O165" s="29">
        <v>1</v>
      </c>
      <c r="P165" s="79">
        <v>612000</v>
      </c>
    </row>
    <row r="166" spans="1:16" ht="81.75" customHeight="1">
      <c r="A166" s="7">
        <v>42</v>
      </c>
      <c r="B166" s="11"/>
      <c r="C166" s="34" t="s">
        <v>413</v>
      </c>
      <c r="D166" s="15" t="s">
        <v>412</v>
      </c>
      <c r="E166" s="29">
        <v>40.3</v>
      </c>
      <c r="F166" s="29"/>
      <c r="G166" s="30" t="s">
        <v>1901</v>
      </c>
      <c r="H166" s="29"/>
      <c r="I166" s="29"/>
      <c r="J166" s="30" t="s">
        <v>1328</v>
      </c>
      <c r="K166" s="15" t="s">
        <v>497</v>
      </c>
      <c r="L166" s="31">
        <v>40933</v>
      </c>
      <c r="M166" s="29" t="s">
        <v>1934</v>
      </c>
      <c r="N166" s="14" t="s">
        <v>472</v>
      </c>
      <c r="O166" s="29">
        <v>1</v>
      </c>
      <c r="P166" s="79">
        <f>52051.82</f>
        <v>52051.82</v>
      </c>
    </row>
    <row r="167" spans="1:16" ht="86.25" customHeight="1">
      <c r="A167" s="7">
        <v>43</v>
      </c>
      <c r="B167" s="11"/>
      <c r="C167" s="36" t="s">
        <v>2535</v>
      </c>
      <c r="D167" s="25" t="s">
        <v>2536</v>
      </c>
      <c r="E167" s="29">
        <v>51.5</v>
      </c>
      <c r="F167" s="29"/>
      <c r="G167" s="30" t="s">
        <v>2537</v>
      </c>
      <c r="H167" s="29"/>
      <c r="I167" s="29"/>
      <c r="J167" s="30" t="s">
        <v>1328</v>
      </c>
      <c r="K167" s="30" t="s">
        <v>2538</v>
      </c>
      <c r="L167" s="31">
        <v>44344</v>
      </c>
      <c r="M167" s="29" t="s">
        <v>1934</v>
      </c>
      <c r="N167" s="27" t="s">
        <v>2539</v>
      </c>
      <c r="O167" s="29">
        <v>1</v>
      </c>
      <c r="P167" s="79">
        <v>700000</v>
      </c>
    </row>
    <row r="168" spans="1:16" ht="86.25" customHeight="1">
      <c r="A168" s="7">
        <v>44</v>
      </c>
      <c r="B168" s="11"/>
      <c r="C168" s="34" t="s">
        <v>411</v>
      </c>
      <c r="D168" s="15" t="s">
        <v>410</v>
      </c>
      <c r="E168" s="29">
        <v>41</v>
      </c>
      <c r="F168" s="29"/>
      <c r="G168" s="30" t="s">
        <v>1902</v>
      </c>
      <c r="H168" s="29"/>
      <c r="I168" s="29"/>
      <c r="J168" s="30" t="s">
        <v>1328</v>
      </c>
      <c r="K168" s="15" t="s">
        <v>499</v>
      </c>
      <c r="L168" s="29" t="s">
        <v>498</v>
      </c>
      <c r="M168" s="29" t="s">
        <v>1934</v>
      </c>
      <c r="N168" s="14" t="s">
        <v>472</v>
      </c>
      <c r="O168" s="29">
        <v>1</v>
      </c>
      <c r="P168" s="79">
        <f>52051.82</f>
        <v>52051.82</v>
      </c>
    </row>
    <row r="169" spans="1:16" ht="84" customHeight="1">
      <c r="A169" s="7">
        <v>45</v>
      </c>
      <c r="B169" s="11"/>
      <c r="C169" s="34" t="s">
        <v>409</v>
      </c>
      <c r="D169" s="15" t="s">
        <v>408</v>
      </c>
      <c r="E169" s="29">
        <v>30.8</v>
      </c>
      <c r="F169" s="29"/>
      <c r="G169" s="30" t="s">
        <v>1903</v>
      </c>
      <c r="H169" s="29"/>
      <c r="I169" s="29"/>
      <c r="J169" s="30" t="s">
        <v>1328</v>
      </c>
      <c r="K169" s="15" t="s">
        <v>500</v>
      </c>
      <c r="L169" s="31">
        <v>40932</v>
      </c>
      <c r="M169" s="29" t="s">
        <v>1934</v>
      </c>
      <c r="N169" s="14" t="s">
        <v>472</v>
      </c>
      <c r="O169" s="29">
        <v>1</v>
      </c>
      <c r="P169" s="79">
        <f>38489.02</f>
        <v>38489.02</v>
      </c>
    </row>
    <row r="170" spans="1:16" ht="81.75" customHeight="1">
      <c r="A170" s="7">
        <v>46</v>
      </c>
      <c r="B170" s="11"/>
      <c r="C170" s="34" t="s">
        <v>407</v>
      </c>
      <c r="D170" s="15" t="s">
        <v>406</v>
      </c>
      <c r="E170" s="29">
        <v>40.8</v>
      </c>
      <c r="F170" s="29"/>
      <c r="G170" s="30" t="s">
        <v>1904</v>
      </c>
      <c r="H170" s="29"/>
      <c r="I170" s="29"/>
      <c r="J170" s="30" t="s">
        <v>1328</v>
      </c>
      <c r="K170" s="15" t="s">
        <v>501</v>
      </c>
      <c r="L170" s="31">
        <v>40928</v>
      </c>
      <c r="M170" s="29" t="s">
        <v>1934</v>
      </c>
      <c r="N170" s="14" t="s">
        <v>472</v>
      </c>
      <c r="O170" s="29">
        <v>1</v>
      </c>
      <c r="P170" s="79">
        <f>50952.14</f>
        <v>50952.14</v>
      </c>
    </row>
    <row r="171" spans="1:16" ht="84" customHeight="1">
      <c r="A171" s="39">
        <v>47</v>
      </c>
      <c r="B171" s="11"/>
      <c r="C171" s="34" t="s">
        <v>405</v>
      </c>
      <c r="D171" s="15" t="s">
        <v>404</v>
      </c>
      <c r="E171" s="29">
        <v>30.9</v>
      </c>
      <c r="F171" s="29"/>
      <c r="G171" s="30" t="s">
        <v>1905</v>
      </c>
      <c r="H171" s="29"/>
      <c r="I171" s="29"/>
      <c r="J171" s="30" t="s">
        <v>1328</v>
      </c>
      <c r="K171" s="15" t="s">
        <v>502</v>
      </c>
      <c r="L171" s="31">
        <v>40935</v>
      </c>
      <c r="M171" s="29" t="s">
        <v>1934</v>
      </c>
      <c r="N171" s="14" t="s">
        <v>472</v>
      </c>
      <c r="O171" s="29">
        <v>1</v>
      </c>
      <c r="P171" s="79">
        <f>38489</f>
        <v>38489</v>
      </c>
    </row>
    <row r="172" spans="1:16" ht="84" customHeight="1">
      <c r="A172" s="11">
        <v>48</v>
      </c>
      <c r="B172" s="11"/>
      <c r="C172" s="36" t="s">
        <v>2541</v>
      </c>
      <c r="D172" s="25" t="s">
        <v>2542</v>
      </c>
      <c r="E172" s="29">
        <v>41.4</v>
      </c>
      <c r="F172" s="29"/>
      <c r="G172" s="30" t="s">
        <v>2543</v>
      </c>
      <c r="H172" s="29"/>
      <c r="I172" s="29"/>
      <c r="J172" s="30" t="s">
        <v>1328</v>
      </c>
      <c r="K172" s="30" t="s">
        <v>2544</v>
      </c>
      <c r="L172" s="31">
        <v>44404</v>
      </c>
      <c r="M172" s="29" t="s">
        <v>1934</v>
      </c>
      <c r="N172" s="27" t="s">
        <v>2545</v>
      </c>
      <c r="O172" s="29">
        <v>1</v>
      </c>
      <c r="P172" s="79">
        <v>472000</v>
      </c>
    </row>
    <row r="173" spans="1:16" ht="84" customHeight="1">
      <c r="A173" s="39">
        <v>49</v>
      </c>
      <c r="B173" s="11"/>
      <c r="C173" s="34" t="s">
        <v>403</v>
      </c>
      <c r="D173" s="15" t="s">
        <v>402</v>
      </c>
      <c r="E173" s="29">
        <v>39.8</v>
      </c>
      <c r="F173" s="29"/>
      <c r="G173" s="30" t="s">
        <v>1906</v>
      </c>
      <c r="H173" s="29"/>
      <c r="I173" s="29"/>
      <c r="J173" s="30" t="s">
        <v>1328</v>
      </c>
      <c r="K173" s="15" t="s">
        <v>503</v>
      </c>
      <c r="L173" s="31">
        <v>40935</v>
      </c>
      <c r="M173" s="29" t="s">
        <v>1934</v>
      </c>
      <c r="N173" s="14" t="s">
        <v>472</v>
      </c>
      <c r="O173" s="29">
        <v>1</v>
      </c>
      <c r="P173" s="79">
        <f>50952.14</f>
        <v>50952.14</v>
      </c>
    </row>
    <row r="174" spans="1:16" ht="42.75" customHeight="1">
      <c r="A174" s="11">
        <v>50</v>
      </c>
      <c r="B174" s="11"/>
      <c r="C174" s="36" t="s">
        <v>2131</v>
      </c>
      <c r="D174" s="25" t="s">
        <v>2132</v>
      </c>
      <c r="E174" s="29">
        <v>51.4</v>
      </c>
      <c r="F174" s="29"/>
      <c r="G174" s="30" t="s">
        <v>2133</v>
      </c>
      <c r="H174" s="29"/>
      <c r="I174" s="29"/>
      <c r="J174" s="30" t="s">
        <v>1328</v>
      </c>
      <c r="K174" s="15"/>
      <c r="L174" s="31">
        <v>43682</v>
      </c>
      <c r="M174" s="29" t="s">
        <v>1934</v>
      </c>
      <c r="N174" s="27" t="s">
        <v>2268</v>
      </c>
      <c r="O174" s="29">
        <v>1</v>
      </c>
      <c r="P174" s="79">
        <v>475000</v>
      </c>
    </row>
    <row r="175" spans="1:16" ht="47.25">
      <c r="A175" s="11">
        <v>51</v>
      </c>
      <c r="B175" s="11"/>
      <c r="C175" s="36"/>
      <c r="D175" s="25" t="s">
        <v>1969</v>
      </c>
      <c r="E175" s="29">
        <v>40.3</v>
      </c>
      <c r="F175" s="29"/>
      <c r="G175" s="30" t="s">
        <v>1970</v>
      </c>
      <c r="H175" s="29"/>
      <c r="I175" s="29"/>
      <c r="J175" s="30" t="s">
        <v>1328</v>
      </c>
      <c r="K175" s="15"/>
      <c r="L175" s="31">
        <v>43602</v>
      </c>
      <c r="M175" s="29" t="s">
        <v>1934</v>
      </c>
      <c r="N175" s="27" t="s">
        <v>1971</v>
      </c>
      <c r="O175" s="29">
        <v>1</v>
      </c>
      <c r="P175" s="79">
        <v>476000</v>
      </c>
    </row>
    <row r="176" spans="1:16" ht="41.25" customHeight="1">
      <c r="A176" s="11">
        <v>52</v>
      </c>
      <c r="B176" s="11"/>
      <c r="C176" s="34" t="s">
        <v>401</v>
      </c>
      <c r="D176" s="15" t="s">
        <v>400</v>
      </c>
      <c r="E176" s="29">
        <v>75.7</v>
      </c>
      <c r="F176" s="29"/>
      <c r="G176" s="30" t="s">
        <v>1759</v>
      </c>
      <c r="H176" s="29"/>
      <c r="I176" s="29"/>
      <c r="J176" s="30" t="s">
        <v>1328</v>
      </c>
      <c r="K176" s="15" t="s">
        <v>505</v>
      </c>
      <c r="L176" s="31">
        <v>40189</v>
      </c>
      <c r="M176" s="29" t="s">
        <v>1934</v>
      </c>
      <c r="N176" s="14" t="s">
        <v>504</v>
      </c>
      <c r="O176" s="29">
        <v>1</v>
      </c>
      <c r="P176" s="79">
        <f>226184</f>
        <v>226184</v>
      </c>
    </row>
    <row r="177" spans="1:16" ht="89.25" customHeight="1">
      <c r="A177" s="39">
        <v>53</v>
      </c>
      <c r="B177" s="11"/>
      <c r="C177" s="34" t="s">
        <v>399</v>
      </c>
      <c r="D177" s="15" t="s">
        <v>398</v>
      </c>
      <c r="E177" s="29">
        <v>26.2</v>
      </c>
      <c r="F177" s="29"/>
      <c r="G177" s="30" t="s">
        <v>1766</v>
      </c>
      <c r="H177" s="29"/>
      <c r="I177" s="29"/>
      <c r="J177" s="30" t="s">
        <v>1328</v>
      </c>
      <c r="K177" s="15" t="s">
        <v>506</v>
      </c>
      <c r="L177" s="31">
        <v>40856</v>
      </c>
      <c r="M177" s="29" t="s">
        <v>1934</v>
      </c>
      <c r="N177" s="14" t="s">
        <v>472</v>
      </c>
      <c r="O177" s="29">
        <v>1</v>
      </c>
      <c r="P177" s="79">
        <f>24504.3</f>
        <v>24504.3</v>
      </c>
    </row>
    <row r="178" spans="1:16" ht="94.5">
      <c r="A178" s="11">
        <v>54</v>
      </c>
      <c r="B178" s="11"/>
      <c r="C178" s="34" t="s">
        <v>397</v>
      </c>
      <c r="D178" s="15" t="s">
        <v>396</v>
      </c>
      <c r="E178" s="29">
        <v>32.7</v>
      </c>
      <c r="F178" s="29"/>
      <c r="G178" s="30" t="s">
        <v>1765</v>
      </c>
      <c r="H178" s="29"/>
      <c r="I178" s="29"/>
      <c r="J178" s="30" t="s">
        <v>1328</v>
      </c>
      <c r="K178" s="15" t="s">
        <v>507</v>
      </c>
      <c r="L178" s="31">
        <v>40855</v>
      </c>
      <c r="M178" s="29" t="s">
        <v>1934</v>
      </c>
      <c r="N178" s="14" t="s">
        <v>472</v>
      </c>
      <c r="O178" s="29">
        <v>1</v>
      </c>
      <c r="P178" s="79">
        <f>30766.5</f>
        <v>30766.5</v>
      </c>
    </row>
    <row r="179" spans="1:16" ht="94.5">
      <c r="A179" s="11">
        <v>55</v>
      </c>
      <c r="B179" s="11"/>
      <c r="C179" s="34" t="s">
        <v>395</v>
      </c>
      <c r="D179" s="15" t="s">
        <v>394</v>
      </c>
      <c r="E179" s="29">
        <v>60.9</v>
      </c>
      <c r="F179" s="29"/>
      <c r="G179" s="29"/>
      <c r="H179" s="29"/>
      <c r="I179" s="29"/>
      <c r="J179" s="30" t="s">
        <v>1328</v>
      </c>
      <c r="K179" s="15"/>
      <c r="L179" s="29"/>
      <c r="M179" s="29" t="s">
        <v>1934</v>
      </c>
      <c r="N179" s="14" t="s">
        <v>472</v>
      </c>
      <c r="O179" s="29">
        <v>1</v>
      </c>
      <c r="P179" s="79">
        <f>55270.8</f>
        <v>55270.8</v>
      </c>
    </row>
    <row r="180" spans="1:16" ht="97.5" customHeight="1">
      <c r="A180" s="11">
        <v>56</v>
      </c>
      <c r="B180" s="11"/>
      <c r="C180" s="34" t="s">
        <v>393</v>
      </c>
      <c r="D180" s="15" t="s">
        <v>392</v>
      </c>
      <c r="E180" s="29">
        <v>27.2</v>
      </c>
      <c r="F180" s="29"/>
      <c r="G180" s="29"/>
      <c r="H180" s="29"/>
      <c r="I180" s="29"/>
      <c r="J180" s="30" t="s">
        <v>1328</v>
      </c>
      <c r="K180" s="15"/>
      <c r="L180" s="29"/>
      <c r="M180" s="29" t="s">
        <v>1934</v>
      </c>
      <c r="N180" s="14" t="s">
        <v>472</v>
      </c>
      <c r="O180" s="29">
        <v>1</v>
      </c>
      <c r="P180" s="79">
        <f>24685.81</f>
        <v>24685.81</v>
      </c>
    </row>
    <row r="181" spans="1:16" ht="85.5" customHeight="1">
      <c r="A181" s="11">
        <v>57</v>
      </c>
      <c r="B181" s="11"/>
      <c r="C181" s="34" t="s">
        <v>391</v>
      </c>
      <c r="D181" s="15" t="s">
        <v>390</v>
      </c>
      <c r="E181" s="29">
        <v>65.5</v>
      </c>
      <c r="F181" s="29"/>
      <c r="G181" s="30" t="s">
        <v>1763</v>
      </c>
      <c r="H181" s="29"/>
      <c r="I181" s="29"/>
      <c r="J181" s="30" t="s">
        <v>1328</v>
      </c>
      <c r="K181" s="15" t="s">
        <v>508</v>
      </c>
      <c r="L181" s="31">
        <v>40787</v>
      </c>
      <c r="M181" s="29" t="s">
        <v>1934</v>
      </c>
      <c r="N181" s="14" t="s">
        <v>472</v>
      </c>
      <c r="O181" s="29">
        <v>1</v>
      </c>
      <c r="P181" s="79">
        <f>216403.2</f>
        <v>216403.2</v>
      </c>
    </row>
    <row r="182" spans="1:16" ht="81.75" customHeight="1">
      <c r="A182" s="11">
        <v>58</v>
      </c>
      <c r="B182" s="11"/>
      <c r="C182" s="34" t="s">
        <v>389</v>
      </c>
      <c r="D182" s="15" t="s">
        <v>388</v>
      </c>
      <c r="E182" s="29">
        <v>64.5</v>
      </c>
      <c r="F182" s="29"/>
      <c r="G182" s="30" t="s">
        <v>1764</v>
      </c>
      <c r="H182" s="29"/>
      <c r="I182" s="29"/>
      <c r="J182" s="30" t="s">
        <v>1328</v>
      </c>
      <c r="K182" s="15" t="s">
        <v>509</v>
      </c>
      <c r="L182" s="31">
        <v>40785</v>
      </c>
      <c r="M182" s="29" t="s">
        <v>1934</v>
      </c>
      <c r="N182" s="14" t="s">
        <v>472</v>
      </c>
      <c r="O182" s="29">
        <v>1</v>
      </c>
      <c r="P182" s="79">
        <f>216403.2</f>
        <v>216403.2</v>
      </c>
    </row>
    <row r="183" spans="1:16" ht="47.25">
      <c r="A183" s="11">
        <v>59</v>
      </c>
      <c r="B183" s="11"/>
      <c r="C183" s="34" t="s">
        <v>387</v>
      </c>
      <c r="D183" s="15" t="s">
        <v>386</v>
      </c>
      <c r="E183" s="29">
        <v>70</v>
      </c>
      <c r="F183" s="29"/>
      <c r="G183" s="30" t="s">
        <v>1876</v>
      </c>
      <c r="H183" s="29"/>
      <c r="I183" s="29"/>
      <c r="J183" s="30" t="s">
        <v>1328</v>
      </c>
      <c r="K183" s="30" t="s">
        <v>1878</v>
      </c>
      <c r="L183" s="31">
        <v>42755</v>
      </c>
      <c r="M183" s="29" t="s">
        <v>1934</v>
      </c>
      <c r="N183" s="27" t="s">
        <v>1875</v>
      </c>
      <c r="O183" s="29">
        <v>1</v>
      </c>
      <c r="P183" s="79">
        <f>3877368</f>
        <v>3877368</v>
      </c>
    </row>
    <row r="184" spans="1:16" ht="47.25">
      <c r="A184" s="11">
        <v>60</v>
      </c>
      <c r="B184" s="11"/>
      <c r="C184" s="34" t="s">
        <v>385</v>
      </c>
      <c r="D184" s="15" t="s">
        <v>384</v>
      </c>
      <c r="E184" s="29">
        <v>54.2</v>
      </c>
      <c r="F184" s="29"/>
      <c r="G184" s="30" t="s">
        <v>1877</v>
      </c>
      <c r="H184" s="29"/>
      <c r="I184" s="29"/>
      <c r="J184" s="30" t="s">
        <v>1328</v>
      </c>
      <c r="K184" s="30" t="s">
        <v>1879</v>
      </c>
      <c r="L184" s="31">
        <v>42755</v>
      </c>
      <c r="M184" s="29" t="s">
        <v>1934</v>
      </c>
      <c r="N184" s="27" t="s">
        <v>1875</v>
      </c>
      <c r="O184" s="29">
        <v>1</v>
      </c>
      <c r="P184" s="79">
        <f>2996148</f>
        <v>2996148</v>
      </c>
    </row>
    <row r="185" spans="1:16" ht="47.25">
      <c r="A185" s="47">
        <v>61</v>
      </c>
      <c r="B185" s="11"/>
      <c r="C185" s="36" t="s">
        <v>2449</v>
      </c>
      <c r="D185" s="25" t="s">
        <v>2450</v>
      </c>
      <c r="E185" s="29">
        <v>54.2</v>
      </c>
      <c r="F185" s="29"/>
      <c r="G185" s="30" t="s">
        <v>2451</v>
      </c>
      <c r="H185" s="29"/>
      <c r="I185" s="29"/>
      <c r="J185" s="30" t="s">
        <v>1328</v>
      </c>
      <c r="K185" s="30" t="s">
        <v>2452</v>
      </c>
      <c r="L185" s="31">
        <v>44101</v>
      </c>
      <c r="M185" s="29" t="s">
        <v>1934</v>
      </c>
      <c r="N185" s="27" t="s">
        <v>2453</v>
      </c>
      <c r="O185" s="29">
        <v>1</v>
      </c>
      <c r="P185" s="79">
        <v>1332000</v>
      </c>
    </row>
    <row r="186" spans="1:16" ht="47.25">
      <c r="A186" s="80">
        <v>62</v>
      </c>
      <c r="B186" s="11"/>
      <c r="C186" s="36" t="s">
        <v>383</v>
      </c>
      <c r="D186" s="25" t="s">
        <v>2626</v>
      </c>
      <c r="E186" s="29">
        <v>36.9</v>
      </c>
      <c r="F186" s="29"/>
      <c r="G186" s="30" t="s">
        <v>2627</v>
      </c>
      <c r="H186" s="29"/>
      <c r="I186" s="29"/>
      <c r="J186" s="30" t="s">
        <v>1328</v>
      </c>
      <c r="K186" s="30" t="s">
        <v>2628</v>
      </c>
      <c r="L186" s="31">
        <v>42755</v>
      </c>
      <c r="M186" s="29" t="s">
        <v>1934</v>
      </c>
      <c r="N186" s="27" t="s">
        <v>1875</v>
      </c>
      <c r="O186" s="29">
        <v>1</v>
      </c>
      <c r="P186" s="89">
        <f>2114928</f>
        <v>2114928</v>
      </c>
    </row>
    <row r="187" spans="1:16" ht="47.25">
      <c r="A187" s="11">
        <v>63</v>
      </c>
      <c r="B187" s="11"/>
      <c r="C187" s="36" t="s">
        <v>620</v>
      </c>
      <c r="D187" s="25" t="s">
        <v>2622</v>
      </c>
      <c r="E187" s="29">
        <v>52.8</v>
      </c>
      <c r="F187" s="29"/>
      <c r="G187" s="30" t="s">
        <v>2623</v>
      </c>
      <c r="H187" s="29"/>
      <c r="I187" s="29"/>
      <c r="J187" s="30" t="s">
        <v>1328</v>
      </c>
      <c r="K187" s="30" t="s">
        <v>2624</v>
      </c>
      <c r="L187" s="31">
        <v>44546</v>
      </c>
      <c r="M187" s="29" t="s">
        <v>1934</v>
      </c>
      <c r="N187" s="27" t="s">
        <v>2625</v>
      </c>
      <c r="O187" s="29">
        <v>1</v>
      </c>
      <c r="P187" s="79">
        <v>989000</v>
      </c>
    </row>
    <row r="188" spans="1:16" ht="47.25">
      <c r="A188" s="11">
        <v>64</v>
      </c>
      <c r="B188" s="11"/>
      <c r="C188" s="34" t="s">
        <v>382</v>
      </c>
      <c r="D188" s="25" t="s">
        <v>381</v>
      </c>
      <c r="E188" s="29">
        <v>54.2</v>
      </c>
      <c r="F188" s="29"/>
      <c r="G188" s="30" t="s">
        <v>1880</v>
      </c>
      <c r="H188" s="29"/>
      <c r="I188" s="29"/>
      <c r="J188" s="30" t="s">
        <v>1328</v>
      </c>
      <c r="K188" s="30" t="s">
        <v>1881</v>
      </c>
      <c r="L188" s="31">
        <v>42755</v>
      </c>
      <c r="M188" s="29" t="s">
        <v>1934</v>
      </c>
      <c r="N188" s="27" t="s">
        <v>1875</v>
      </c>
      <c r="O188" s="29">
        <v>1</v>
      </c>
      <c r="P188" s="79">
        <f>2996148</f>
        <v>2996148</v>
      </c>
    </row>
    <row r="189" spans="1:16" ht="47.25">
      <c r="A189" s="11">
        <v>65</v>
      </c>
      <c r="B189" s="11"/>
      <c r="C189" s="34" t="s">
        <v>380</v>
      </c>
      <c r="D189" s="15" t="s">
        <v>379</v>
      </c>
      <c r="E189" s="29">
        <v>36.9</v>
      </c>
      <c r="F189" s="29"/>
      <c r="G189" s="30" t="s">
        <v>1882</v>
      </c>
      <c r="H189" s="29"/>
      <c r="I189" s="29"/>
      <c r="J189" s="30" t="s">
        <v>1328</v>
      </c>
      <c r="K189" s="30" t="s">
        <v>1883</v>
      </c>
      <c r="L189" s="31">
        <v>42755</v>
      </c>
      <c r="M189" s="29" t="s">
        <v>1934</v>
      </c>
      <c r="N189" s="27" t="s">
        <v>1875</v>
      </c>
      <c r="O189" s="29">
        <v>1</v>
      </c>
      <c r="P189" s="79">
        <f>2123316</f>
        <v>2123316</v>
      </c>
    </row>
    <row r="190" spans="1:16" ht="47.25">
      <c r="A190" s="11">
        <v>66</v>
      </c>
      <c r="B190" s="11"/>
      <c r="C190" s="34" t="s">
        <v>378</v>
      </c>
      <c r="D190" s="15" t="s">
        <v>377</v>
      </c>
      <c r="E190" s="29">
        <v>55.7</v>
      </c>
      <c r="F190" s="29"/>
      <c r="G190" s="30" t="s">
        <v>1760</v>
      </c>
      <c r="H190" s="29"/>
      <c r="I190" s="29"/>
      <c r="J190" s="30" t="s">
        <v>1328</v>
      </c>
      <c r="K190" s="25" t="s">
        <v>1761</v>
      </c>
      <c r="L190" s="31">
        <v>42460</v>
      </c>
      <c r="M190" s="29" t="s">
        <v>1934</v>
      </c>
      <c r="N190" s="27" t="s">
        <v>1762</v>
      </c>
      <c r="O190" s="29">
        <v>1</v>
      </c>
      <c r="P190" s="79">
        <f>995000</f>
        <v>995000</v>
      </c>
    </row>
    <row r="191" spans="1:16" ht="80.25" customHeight="1">
      <c r="A191" s="11">
        <v>67</v>
      </c>
      <c r="B191" s="11"/>
      <c r="C191" s="34" t="s">
        <v>376</v>
      </c>
      <c r="D191" s="15" t="s">
        <v>375</v>
      </c>
      <c r="E191" s="29">
        <v>27.9</v>
      </c>
      <c r="F191" s="29"/>
      <c r="G191" s="30" t="s">
        <v>1767</v>
      </c>
      <c r="H191" s="29"/>
      <c r="I191" s="29"/>
      <c r="J191" s="30" t="s">
        <v>1328</v>
      </c>
      <c r="K191" s="15" t="s">
        <v>510</v>
      </c>
      <c r="L191" s="31">
        <v>40529</v>
      </c>
      <c r="M191" s="29" t="s">
        <v>1934</v>
      </c>
      <c r="N191" s="14" t="s">
        <v>472</v>
      </c>
      <c r="O191" s="29">
        <v>1</v>
      </c>
      <c r="P191" s="79">
        <f>72918.58</f>
        <v>72918.58</v>
      </c>
    </row>
    <row r="192" spans="1:16" ht="84" customHeight="1">
      <c r="A192" s="11">
        <v>68</v>
      </c>
      <c r="B192" s="11"/>
      <c r="C192" s="34" t="s">
        <v>374</v>
      </c>
      <c r="D192" s="15" t="s">
        <v>373</v>
      </c>
      <c r="E192" s="29">
        <v>68.6</v>
      </c>
      <c r="F192" s="29"/>
      <c r="G192" s="29"/>
      <c r="H192" s="29"/>
      <c r="I192" s="29"/>
      <c r="J192" s="30" t="s">
        <v>1325</v>
      </c>
      <c r="K192" s="15"/>
      <c r="L192" s="29"/>
      <c r="M192" s="29" t="s">
        <v>1934</v>
      </c>
      <c r="N192" s="14" t="s">
        <v>472</v>
      </c>
      <c r="O192" s="29">
        <v>1</v>
      </c>
      <c r="P192" s="79">
        <f>40515.04</f>
        <v>40515.04</v>
      </c>
    </row>
    <row r="193" spans="1:16" ht="80.25" customHeight="1">
      <c r="A193" s="47">
        <v>69</v>
      </c>
      <c r="B193" s="11"/>
      <c r="C193" s="34" t="s">
        <v>372</v>
      </c>
      <c r="D193" s="15" t="s">
        <v>371</v>
      </c>
      <c r="E193" s="29">
        <v>67.7</v>
      </c>
      <c r="F193" s="29"/>
      <c r="G193" s="30" t="s">
        <v>1591</v>
      </c>
      <c r="H193" s="29"/>
      <c r="I193" s="29"/>
      <c r="J193" s="30" t="s">
        <v>1325</v>
      </c>
      <c r="K193" s="15" t="s">
        <v>512</v>
      </c>
      <c r="L193" s="31">
        <v>41207</v>
      </c>
      <c r="M193" s="29" t="s">
        <v>1934</v>
      </c>
      <c r="N193" s="27" t="s">
        <v>472</v>
      </c>
      <c r="O193" s="29">
        <v>1</v>
      </c>
      <c r="P193" s="79">
        <f>28209.32</f>
        <v>28209.32</v>
      </c>
    </row>
    <row r="194" spans="1:16" ht="81.75" customHeight="1">
      <c r="A194" s="11">
        <v>70</v>
      </c>
      <c r="B194" s="11"/>
      <c r="C194" s="34" t="s">
        <v>370</v>
      </c>
      <c r="D194" s="15" t="s">
        <v>369</v>
      </c>
      <c r="E194" s="29">
        <v>54.6</v>
      </c>
      <c r="F194" s="29"/>
      <c r="G194" s="30" t="s">
        <v>1683</v>
      </c>
      <c r="H194" s="29"/>
      <c r="I194" s="29"/>
      <c r="J194" s="30" t="s">
        <v>1325</v>
      </c>
      <c r="K194" s="30" t="s">
        <v>1684</v>
      </c>
      <c r="L194" s="31">
        <v>43054</v>
      </c>
      <c r="M194" s="29" t="s">
        <v>1934</v>
      </c>
      <c r="N194" s="27" t="s">
        <v>472</v>
      </c>
      <c r="O194" s="29">
        <v>1</v>
      </c>
      <c r="P194" s="79">
        <f>34886.23</f>
        <v>34886.23</v>
      </c>
    </row>
    <row r="195" spans="1:16" ht="47.25">
      <c r="A195" s="11">
        <v>71</v>
      </c>
      <c r="B195" s="11"/>
      <c r="C195" s="36" t="s">
        <v>2170</v>
      </c>
      <c r="D195" s="25" t="s">
        <v>2171</v>
      </c>
      <c r="E195" s="29">
        <v>60.5</v>
      </c>
      <c r="F195" s="29"/>
      <c r="G195" s="30" t="s">
        <v>2172</v>
      </c>
      <c r="H195" s="29"/>
      <c r="I195" s="29"/>
      <c r="J195" s="30" t="s">
        <v>1325</v>
      </c>
      <c r="K195" s="30" t="s">
        <v>1684</v>
      </c>
      <c r="L195" s="31">
        <v>43839</v>
      </c>
      <c r="M195" s="29" t="s">
        <v>1934</v>
      </c>
      <c r="N195" s="27" t="s">
        <v>2173</v>
      </c>
      <c r="O195" s="29">
        <v>1</v>
      </c>
      <c r="P195" s="79">
        <v>883000</v>
      </c>
    </row>
    <row r="196" spans="1:16" ht="94.5">
      <c r="A196" s="11">
        <v>72</v>
      </c>
      <c r="B196" s="11"/>
      <c r="C196" s="34" t="s">
        <v>368</v>
      </c>
      <c r="D196" s="15" t="s">
        <v>367</v>
      </c>
      <c r="E196" s="29">
        <v>44.7</v>
      </c>
      <c r="F196" s="29"/>
      <c r="G196" s="30" t="s">
        <v>1592</v>
      </c>
      <c r="H196" s="29"/>
      <c r="I196" s="29"/>
      <c r="J196" s="30" t="s">
        <v>1325</v>
      </c>
      <c r="K196" s="15" t="s">
        <v>513</v>
      </c>
      <c r="L196" s="31">
        <v>41207</v>
      </c>
      <c r="M196" s="29" t="s">
        <v>1934</v>
      </c>
      <c r="N196" s="14" t="s">
        <v>472</v>
      </c>
      <c r="O196" s="29">
        <v>1</v>
      </c>
      <c r="P196" s="79">
        <f>66541.33</f>
        <v>66541.33</v>
      </c>
    </row>
    <row r="197" spans="1:16" ht="47.25">
      <c r="A197" s="11">
        <v>73</v>
      </c>
      <c r="B197" s="11"/>
      <c r="C197" s="34" t="s">
        <v>366</v>
      </c>
      <c r="D197" s="15" t="s">
        <v>365</v>
      </c>
      <c r="E197" s="29">
        <v>76.4</v>
      </c>
      <c r="F197" s="29"/>
      <c r="G197" s="30" t="s">
        <v>1597</v>
      </c>
      <c r="H197" s="29"/>
      <c r="I197" s="29"/>
      <c r="J197" s="30" t="s">
        <v>1325</v>
      </c>
      <c r="K197" s="30" t="s">
        <v>1598</v>
      </c>
      <c r="L197" s="31">
        <v>43424</v>
      </c>
      <c r="M197" s="29" t="s">
        <v>1934</v>
      </c>
      <c r="N197" s="27" t="s">
        <v>1599</v>
      </c>
      <c r="O197" s="29">
        <v>1</v>
      </c>
      <c r="P197" s="79">
        <f>4421376</f>
        <v>4421376</v>
      </c>
    </row>
    <row r="198" spans="1:16" ht="47.25">
      <c r="A198" s="11">
        <v>74</v>
      </c>
      <c r="B198" s="11"/>
      <c r="C198" s="34" t="s">
        <v>364</v>
      </c>
      <c r="D198" s="15" t="s">
        <v>363</v>
      </c>
      <c r="E198" s="29">
        <v>57.5</v>
      </c>
      <c r="F198" s="29"/>
      <c r="G198" s="30" t="s">
        <v>1600</v>
      </c>
      <c r="H198" s="29"/>
      <c r="I198" s="29"/>
      <c r="J198" s="30" t="s">
        <v>1325</v>
      </c>
      <c r="K198" s="30" t="s">
        <v>1601</v>
      </c>
      <c r="L198" s="31">
        <v>43424</v>
      </c>
      <c r="M198" s="29" t="s">
        <v>1934</v>
      </c>
      <c r="N198" s="27" t="s">
        <v>1599</v>
      </c>
      <c r="O198" s="29">
        <v>1</v>
      </c>
      <c r="P198" s="79">
        <f>3316032</f>
        <v>3316032</v>
      </c>
    </row>
    <row r="199" spans="1:16" ht="55.5" customHeight="1">
      <c r="A199" s="11">
        <v>75</v>
      </c>
      <c r="B199" s="11"/>
      <c r="C199" s="34" t="s">
        <v>362</v>
      </c>
      <c r="D199" s="15" t="s">
        <v>361</v>
      </c>
      <c r="E199" s="29">
        <v>37.4</v>
      </c>
      <c r="F199" s="29"/>
      <c r="G199" s="30" t="s">
        <v>1602</v>
      </c>
      <c r="H199" s="29"/>
      <c r="I199" s="29"/>
      <c r="J199" s="30" t="s">
        <v>1325</v>
      </c>
      <c r="K199" s="30" t="s">
        <v>1603</v>
      </c>
      <c r="L199" s="31">
        <v>43424</v>
      </c>
      <c r="M199" s="29" t="s">
        <v>1934</v>
      </c>
      <c r="N199" s="27" t="s">
        <v>1599</v>
      </c>
      <c r="O199" s="29">
        <v>1</v>
      </c>
      <c r="P199" s="79">
        <f>2152512</f>
        <v>2152512</v>
      </c>
    </row>
    <row r="200" spans="1:16" ht="80.25" customHeight="1">
      <c r="A200" s="11">
        <v>76</v>
      </c>
      <c r="B200" s="11"/>
      <c r="C200" s="34" t="s">
        <v>360</v>
      </c>
      <c r="D200" s="15" t="s">
        <v>359</v>
      </c>
      <c r="E200" s="29">
        <v>64.2</v>
      </c>
      <c r="F200" s="29"/>
      <c r="G200" s="30" t="s">
        <v>1593</v>
      </c>
      <c r="H200" s="29"/>
      <c r="I200" s="29"/>
      <c r="J200" s="30" t="s">
        <v>1325</v>
      </c>
      <c r="K200" s="15" t="s">
        <v>514</v>
      </c>
      <c r="L200" s="31">
        <v>41207</v>
      </c>
      <c r="M200" s="29" t="s">
        <v>1934</v>
      </c>
      <c r="N200" s="14" t="s">
        <v>472</v>
      </c>
      <c r="O200" s="29">
        <v>1</v>
      </c>
      <c r="P200" s="79">
        <f>81600</f>
        <v>81600</v>
      </c>
    </row>
    <row r="201" spans="1:16" ht="79.5" customHeight="1">
      <c r="A201" s="11">
        <v>77</v>
      </c>
      <c r="B201" s="11"/>
      <c r="C201" s="34" t="s">
        <v>358</v>
      </c>
      <c r="D201" s="15" t="s">
        <v>357</v>
      </c>
      <c r="E201" s="29">
        <v>62</v>
      </c>
      <c r="F201" s="29"/>
      <c r="G201" s="30" t="s">
        <v>1594</v>
      </c>
      <c r="H201" s="29"/>
      <c r="I201" s="29"/>
      <c r="J201" s="30" t="s">
        <v>1325</v>
      </c>
      <c r="K201" s="15" t="s">
        <v>515</v>
      </c>
      <c r="L201" s="31">
        <v>41207</v>
      </c>
      <c r="M201" s="29" t="s">
        <v>1934</v>
      </c>
      <c r="N201" s="27" t="s">
        <v>472</v>
      </c>
      <c r="O201" s="29">
        <v>1</v>
      </c>
      <c r="P201" s="79">
        <f>61179.89</f>
        <v>61179.89</v>
      </c>
    </row>
    <row r="202" spans="1:16" ht="94.5">
      <c r="A202" s="11">
        <v>78</v>
      </c>
      <c r="B202" s="11"/>
      <c r="C202" s="34" t="s">
        <v>356</v>
      </c>
      <c r="D202" s="15" t="s">
        <v>355</v>
      </c>
      <c r="E202" s="29">
        <v>50.8</v>
      </c>
      <c r="F202" s="29"/>
      <c r="G202" s="30" t="s">
        <v>1595</v>
      </c>
      <c r="H202" s="29"/>
      <c r="I202" s="29"/>
      <c r="J202" s="30" t="s">
        <v>1325</v>
      </c>
      <c r="K202" s="15" t="s">
        <v>516</v>
      </c>
      <c r="L202" s="31">
        <v>41207</v>
      </c>
      <c r="M202" s="29" t="s">
        <v>1934</v>
      </c>
      <c r="N202" s="14" t="s">
        <v>472</v>
      </c>
      <c r="O202" s="29">
        <v>1</v>
      </c>
      <c r="P202" s="79">
        <f>51410.84</f>
        <v>51410.84</v>
      </c>
    </row>
    <row r="203" spans="1:16" ht="87" customHeight="1">
      <c r="A203" s="11">
        <v>79</v>
      </c>
      <c r="B203" s="11"/>
      <c r="C203" s="34" t="s">
        <v>354</v>
      </c>
      <c r="D203" s="15" t="s">
        <v>353</v>
      </c>
      <c r="E203" s="29">
        <v>44</v>
      </c>
      <c r="F203" s="29"/>
      <c r="G203" s="30" t="s">
        <v>1596</v>
      </c>
      <c r="H203" s="29"/>
      <c r="I203" s="29"/>
      <c r="J203" s="30" t="s">
        <v>1325</v>
      </c>
      <c r="K203" s="15" t="s">
        <v>517</v>
      </c>
      <c r="L203" s="31">
        <v>41207</v>
      </c>
      <c r="M203" s="29" t="s">
        <v>1934</v>
      </c>
      <c r="N203" s="14" t="s">
        <v>472</v>
      </c>
      <c r="O203" s="29">
        <v>1</v>
      </c>
      <c r="P203" s="79">
        <f>123760</f>
        <v>123760</v>
      </c>
    </row>
    <row r="204" spans="1:16" ht="39" customHeight="1">
      <c r="A204" s="11">
        <v>80</v>
      </c>
      <c r="B204" s="11"/>
      <c r="C204" s="34" t="s">
        <v>352</v>
      </c>
      <c r="D204" s="15" t="s">
        <v>351</v>
      </c>
      <c r="E204" s="29">
        <v>41.2</v>
      </c>
      <c r="F204" s="29"/>
      <c r="G204" s="30" t="s">
        <v>524</v>
      </c>
      <c r="H204" s="29"/>
      <c r="I204" s="29"/>
      <c r="J204" s="30" t="s">
        <v>1325</v>
      </c>
      <c r="K204" s="15" t="s">
        <v>525</v>
      </c>
      <c r="L204" s="31">
        <v>42044</v>
      </c>
      <c r="M204" s="29" t="s">
        <v>1934</v>
      </c>
      <c r="N204" s="14" t="s">
        <v>523</v>
      </c>
      <c r="O204" s="29">
        <v>1</v>
      </c>
      <c r="P204" s="79">
        <f>699000</f>
        <v>699000</v>
      </c>
    </row>
    <row r="205" spans="1:16" ht="47.25">
      <c r="A205" s="11">
        <v>81</v>
      </c>
      <c r="B205" s="11"/>
      <c r="C205" s="34" t="s">
        <v>350</v>
      </c>
      <c r="D205" s="15" t="s">
        <v>349</v>
      </c>
      <c r="E205" s="29">
        <v>76.5</v>
      </c>
      <c r="F205" s="29"/>
      <c r="G205" s="30" t="s">
        <v>1893</v>
      </c>
      <c r="H205" s="29"/>
      <c r="I205" s="29"/>
      <c r="J205" s="30" t="s">
        <v>1325</v>
      </c>
      <c r="K205" s="25" t="s">
        <v>1895</v>
      </c>
      <c r="L205" s="31">
        <v>42426</v>
      </c>
      <c r="M205" s="29" t="s">
        <v>1934</v>
      </c>
      <c r="N205" s="14" t="s">
        <v>518</v>
      </c>
      <c r="O205" s="29">
        <v>1</v>
      </c>
      <c r="P205" s="79">
        <f>4267704</f>
        <v>4267704</v>
      </c>
    </row>
    <row r="206" spans="1:16" ht="47.25">
      <c r="A206" s="7">
        <v>82</v>
      </c>
      <c r="B206" s="11"/>
      <c r="C206" s="34" t="s">
        <v>348</v>
      </c>
      <c r="D206" s="15" t="s">
        <v>347</v>
      </c>
      <c r="E206" s="29">
        <v>59</v>
      </c>
      <c r="F206" s="29"/>
      <c r="G206" s="30" t="s">
        <v>1894</v>
      </c>
      <c r="H206" s="29"/>
      <c r="I206" s="29"/>
      <c r="J206" s="30" t="s">
        <v>1325</v>
      </c>
      <c r="K206" s="25" t="s">
        <v>1896</v>
      </c>
      <c r="L206" s="31">
        <v>42426</v>
      </c>
      <c r="M206" s="29" t="s">
        <v>1934</v>
      </c>
      <c r="N206" s="14" t="s">
        <v>518</v>
      </c>
      <c r="O206" s="29">
        <v>1</v>
      </c>
      <c r="P206" s="79">
        <f>3313086</f>
        <v>3313086</v>
      </c>
    </row>
    <row r="207" spans="1:16" ht="47.25">
      <c r="A207" s="39">
        <v>83</v>
      </c>
      <c r="B207" s="11"/>
      <c r="C207" s="34" t="s">
        <v>346</v>
      </c>
      <c r="D207" s="15" t="s">
        <v>345</v>
      </c>
      <c r="E207" s="29">
        <v>59.1</v>
      </c>
      <c r="F207" s="29"/>
      <c r="G207" s="30" t="s">
        <v>1897</v>
      </c>
      <c r="H207" s="29"/>
      <c r="I207" s="29"/>
      <c r="J207" s="30" t="s">
        <v>1325</v>
      </c>
      <c r="K207" s="25" t="s">
        <v>1898</v>
      </c>
      <c r="L207" s="31">
        <v>42426</v>
      </c>
      <c r="M207" s="29" t="s">
        <v>1934</v>
      </c>
      <c r="N207" s="14" t="s">
        <v>518</v>
      </c>
      <c r="O207" s="29">
        <v>1</v>
      </c>
      <c r="P207" s="79">
        <f>3313086</f>
        <v>3313086</v>
      </c>
    </row>
    <row r="208" spans="1:16" ht="47.25">
      <c r="A208" s="11">
        <v>84</v>
      </c>
      <c r="B208" s="11"/>
      <c r="C208" s="34" t="s">
        <v>344</v>
      </c>
      <c r="D208" s="15" t="s">
        <v>343</v>
      </c>
      <c r="E208" s="29">
        <v>40</v>
      </c>
      <c r="F208" s="29"/>
      <c r="G208" s="30" t="s">
        <v>1899</v>
      </c>
      <c r="H208" s="29"/>
      <c r="I208" s="29"/>
      <c r="J208" s="30" t="s">
        <v>1325</v>
      </c>
      <c r="K208" s="25" t="s">
        <v>1900</v>
      </c>
      <c r="L208" s="31">
        <v>42426</v>
      </c>
      <c r="M208" s="29" t="s">
        <v>1934</v>
      </c>
      <c r="N208" s="14" t="s">
        <v>518</v>
      </c>
      <c r="O208" s="29">
        <v>1</v>
      </c>
      <c r="P208" s="79">
        <f>2246160</f>
        <v>2246160</v>
      </c>
    </row>
    <row r="209" spans="1:16" ht="31.5">
      <c r="A209" s="11">
        <v>85</v>
      </c>
      <c r="B209" s="11"/>
      <c r="C209" s="34" t="s">
        <v>342</v>
      </c>
      <c r="D209" s="15" t="s">
        <v>341</v>
      </c>
      <c r="E209" s="29">
        <v>38.2</v>
      </c>
      <c r="F209" s="29"/>
      <c r="G209" s="30" t="s">
        <v>1604</v>
      </c>
      <c r="H209" s="29"/>
      <c r="I209" s="29"/>
      <c r="J209" s="30" t="s">
        <v>1325</v>
      </c>
      <c r="K209" s="15" t="s">
        <v>520</v>
      </c>
      <c r="L209" s="31">
        <v>41062</v>
      </c>
      <c r="M209" s="29" t="s">
        <v>1934</v>
      </c>
      <c r="N209" s="14" t="s">
        <v>519</v>
      </c>
      <c r="O209" s="29">
        <v>1</v>
      </c>
      <c r="P209" s="79">
        <f>73360.85</f>
        <v>73360.85</v>
      </c>
    </row>
    <row r="210" spans="1:16" ht="47.25">
      <c r="A210" s="11">
        <v>86</v>
      </c>
      <c r="B210" s="11"/>
      <c r="C210" s="36" t="s">
        <v>1983</v>
      </c>
      <c r="D210" s="25" t="s">
        <v>1984</v>
      </c>
      <c r="E210" s="29">
        <v>73.9</v>
      </c>
      <c r="F210" s="29"/>
      <c r="G210" s="30" t="s">
        <v>1985</v>
      </c>
      <c r="H210" s="29"/>
      <c r="I210" s="29"/>
      <c r="J210" s="30" t="s">
        <v>1325</v>
      </c>
      <c r="K210" s="30" t="s">
        <v>2333</v>
      </c>
      <c r="L210" s="31">
        <v>43494</v>
      </c>
      <c r="M210" s="29" t="s">
        <v>1934</v>
      </c>
      <c r="N210" s="27" t="s">
        <v>1986</v>
      </c>
      <c r="O210" s="29">
        <v>1</v>
      </c>
      <c r="P210" s="79">
        <v>939000</v>
      </c>
    </row>
    <row r="211" spans="1:16" ht="85.5" customHeight="1">
      <c r="A211" s="11">
        <v>87</v>
      </c>
      <c r="B211" s="11"/>
      <c r="C211" s="34" t="s">
        <v>340</v>
      </c>
      <c r="D211" s="15" t="s">
        <v>339</v>
      </c>
      <c r="E211" s="29">
        <v>36.4</v>
      </c>
      <c r="F211" s="29"/>
      <c r="G211" s="30" t="s">
        <v>1605</v>
      </c>
      <c r="H211" s="29"/>
      <c r="I211" s="29"/>
      <c r="J211" s="30" t="s">
        <v>1325</v>
      </c>
      <c r="K211" s="15" t="s">
        <v>521</v>
      </c>
      <c r="L211" s="31">
        <v>42114</v>
      </c>
      <c r="M211" s="29" t="s">
        <v>1934</v>
      </c>
      <c r="N211" s="14" t="s">
        <v>472</v>
      </c>
      <c r="O211" s="29">
        <v>1</v>
      </c>
      <c r="P211" s="79">
        <f>36797.88</f>
        <v>36797.88</v>
      </c>
    </row>
    <row r="212" spans="1:16" ht="94.5">
      <c r="A212" s="11">
        <v>88</v>
      </c>
      <c r="B212" s="11"/>
      <c r="C212" s="34" t="s">
        <v>338</v>
      </c>
      <c r="D212" s="15" t="s">
        <v>337</v>
      </c>
      <c r="E212" s="29">
        <v>38.1</v>
      </c>
      <c r="F212" s="29"/>
      <c r="G212" s="30" t="s">
        <v>1606</v>
      </c>
      <c r="H212" s="29"/>
      <c r="I212" s="29"/>
      <c r="J212" s="30" t="s">
        <v>1325</v>
      </c>
      <c r="K212" s="15" t="s">
        <v>522</v>
      </c>
      <c r="L212" s="31">
        <v>42114</v>
      </c>
      <c r="M212" s="29" t="s">
        <v>1934</v>
      </c>
      <c r="N212" s="14" t="s">
        <v>472</v>
      </c>
      <c r="O212" s="29">
        <v>1</v>
      </c>
      <c r="P212" s="79">
        <f>42567.97</f>
        <v>42567.97</v>
      </c>
    </row>
    <row r="213" spans="1:16" ht="47.25">
      <c r="A213" s="11">
        <v>89</v>
      </c>
      <c r="B213" s="11"/>
      <c r="C213" s="34" t="s">
        <v>336</v>
      </c>
      <c r="D213" s="15" t="s">
        <v>335</v>
      </c>
      <c r="E213" s="29">
        <v>25.2</v>
      </c>
      <c r="F213" s="29"/>
      <c r="G213" s="30" t="s">
        <v>1607</v>
      </c>
      <c r="H213" s="29"/>
      <c r="I213" s="29"/>
      <c r="J213" s="30" t="s">
        <v>1325</v>
      </c>
      <c r="K213" s="15" t="s">
        <v>526</v>
      </c>
      <c r="L213" s="31">
        <v>41885</v>
      </c>
      <c r="M213" s="29" t="s">
        <v>1934</v>
      </c>
      <c r="N213" s="27" t="s">
        <v>1608</v>
      </c>
      <c r="O213" s="29">
        <v>1</v>
      </c>
      <c r="P213" s="79">
        <f>1015000</f>
        <v>1015000</v>
      </c>
    </row>
    <row r="214" spans="1:16" ht="38.25" customHeight="1">
      <c r="A214" s="11">
        <v>90</v>
      </c>
      <c r="B214" s="11"/>
      <c r="C214" s="34" t="s">
        <v>334</v>
      </c>
      <c r="D214" s="15" t="s">
        <v>333</v>
      </c>
      <c r="E214" s="29">
        <v>22.1</v>
      </c>
      <c r="F214" s="29"/>
      <c r="G214" s="30" t="s">
        <v>1609</v>
      </c>
      <c r="H214" s="29"/>
      <c r="I214" s="29"/>
      <c r="J214" s="30" t="s">
        <v>1325</v>
      </c>
      <c r="K214" s="25" t="s">
        <v>1610</v>
      </c>
      <c r="L214" s="31">
        <v>41679</v>
      </c>
      <c r="M214" s="29" t="s">
        <v>1934</v>
      </c>
      <c r="N214" s="14" t="s">
        <v>527</v>
      </c>
      <c r="O214" s="29">
        <v>1</v>
      </c>
      <c r="P214" s="79">
        <f>334000</f>
        <v>334000</v>
      </c>
    </row>
    <row r="215" spans="1:16" ht="47.25">
      <c r="A215" s="11">
        <v>91</v>
      </c>
      <c r="B215" s="11"/>
      <c r="C215" s="34" t="s">
        <v>332</v>
      </c>
      <c r="D215" s="15" t="s">
        <v>331</v>
      </c>
      <c r="E215" s="29">
        <v>30.9</v>
      </c>
      <c r="F215" s="29"/>
      <c r="G215" s="30" t="s">
        <v>1611</v>
      </c>
      <c r="H215" s="29"/>
      <c r="I215" s="29"/>
      <c r="J215" s="30" t="s">
        <v>1325</v>
      </c>
      <c r="K215" s="15" t="s">
        <v>528</v>
      </c>
      <c r="L215" s="31">
        <v>42044</v>
      </c>
      <c r="M215" s="29" t="s">
        <v>1934</v>
      </c>
      <c r="N215" s="14" t="s">
        <v>490</v>
      </c>
      <c r="O215" s="29">
        <v>1</v>
      </c>
      <c r="P215" s="79">
        <f>418000</f>
        <v>418000</v>
      </c>
    </row>
    <row r="216" spans="1:16" ht="48" customHeight="1">
      <c r="A216" s="11">
        <v>92</v>
      </c>
      <c r="B216" s="11"/>
      <c r="C216" s="36" t="s">
        <v>2310</v>
      </c>
      <c r="D216" s="25" t="s">
        <v>2311</v>
      </c>
      <c r="E216" s="29">
        <v>60.9</v>
      </c>
      <c r="F216" s="29"/>
      <c r="G216" s="30" t="s">
        <v>2312</v>
      </c>
      <c r="H216" s="29"/>
      <c r="I216" s="29"/>
      <c r="J216" s="30" t="s">
        <v>1328</v>
      </c>
      <c r="K216" s="30" t="s">
        <v>2334</v>
      </c>
      <c r="L216" s="31">
        <v>44046</v>
      </c>
      <c r="M216" s="29" t="s">
        <v>1934</v>
      </c>
      <c r="N216" s="27" t="s">
        <v>2313</v>
      </c>
      <c r="O216" s="29">
        <v>1</v>
      </c>
      <c r="P216" s="79">
        <v>1136000</v>
      </c>
    </row>
    <row r="217" spans="1:16" ht="81" customHeight="1">
      <c r="A217" s="11">
        <v>93</v>
      </c>
      <c r="B217" s="11"/>
      <c r="C217" s="34" t="s">
        <v>330</v>
      </c>
      <c r="D217" s="15" t="s">
        <v>329</v>
      </c>
      <c r="E217" s="29">
        <v>40</v>
      </c>
      <c r="F217" s="29"/>
      <c r="G217" s="30" t="s">
        <v>1907</v>
      </c>
      <c r="H217" s="29"/>
      <c r="I217" s="29"/>
      <c r="J217" s="30" t="s">
        <v>1328</v>
      </c>
      <c r="K217" s="15" t="s">
        <v>529</v>
      </c>
      <c r="L217" s="31">
        <v>40420</v>
      </c>
      <c r="M217" s="29" t="s">
        <v>1934</v>
      </c>
      <c r="N217" s="14" t="s">
        <v>472</v>
      </c>
      <c r="O217" s="29">
        <v>1</v>
      </c>
      <c r="P217" s="79">
        <f>60753.44</f>
        <v>60753.44</v>
      </c>
    </row>
    <row r="218" spans="1:16" ht="81.75" customHeight="1">
      <c r="A218" s="11">
        <v>94</v>
      </c>
      <c r="B218" s="11"/>
      <c r="C218" s="34" t="s">
        <v>328</v>
      </c>
      <c r="D218" s="15" t="s">
        <v>327</v>
      </c>
      <c r="E218" s="29">
        <v>35.4</v>
      </c>
      <c r="F218" s="29"/>
      <c r="G218" s="30" t="s">
        <v>1908</v>
      </c>
      <c r="H218" s="29"/>
      <c r="I218" s="29"/>
      <c r="J218" s="30" t="s">
        <v>1328</v>
      </c>
      <c r="K218" s="15" t="s">
        <v>530</v>
      </c>
      <c r="L218" s="31">
        <v>40420</v>
      </c>
      <c r="M218" s="29" t="s">
        <v>1934</v>
      </c>
      <c r="N218" s="14" t="s">
        <v>472</v>
      </c>
      <c r="O218" s="29">
        <v>1</v>
      </c>
      <c r="P218" s="79">
        <f>54923.54</f>
        <v>54923.54</v>
      </c>
    </row>
    <row r="219" spans="1:16" ht="52.5" customHeight="1">
      <c r="A219" s="11">
        <v>95</v>
      </c>
      <c r="B219" s="11"/>
      <c r="C219" s="36" t="s">
        <v>2531</v>
      </c>
      <c r="D219" s="25" t="s">
        <v>2532</v>
      </c>
      <c r="E219" s="29">
        <v>29.1</v>
      </c>
      <c r="F219" s="29"/>
      <c r="G219" s="30" t="s">
        <v>2533</v>
      </c>
      <c r="H219" s="29"/>
      <c r="I219" s="29"/>
      <c r="J219" s="30" t="s">
        <v>1328</v>
      </c>
      <c r="K219" s="30" t="s">
        <v>2534</v>
      </c>
      <c r="L219" s="31">
        <v>44348</v>
      </c>
      <c r="M219" s="29" t="s">
        <v>1934</v>
      </c>
      <c r="N219" s="27" t="s">
        <v>2540</v>
      </c>
      <c r="O219" s="29">
        <v>1</v>
      </c>
      <c r="P219" s="79">
        <v>530000</v>
      </c>
    </row>
    <row r="220" spans="1:16" ht="52.5" customHeight="1">
      <c r="A220" s="11">
        <v>96</v>
      </c>
      <c r="B220" s="11"/>
      <c r="C220" s="36" t="s">
        <v>2250</v>
      </c>
      <c r="D220" s="25" t="s">
        <v>2251</v>
      </c>
      <c r="E220" s="29">
        <v>28.9</v>
      </c>
      <c r="F220" s="29"/>
      <c r="G220" s="30" t="s">
        <v>2252</v>
      </c>
      <c r="H220" s="29"/>
      <c r="I220" s="29"/>
      <c r="J220" s="30" t="s">
        <v>1328</v>
      </c>
      <c r="K220" s="30" t="s">
        <v>2335</v>
      </c>
      <c r="L220" s="31">
        <v>43895</v>
      </c>
      <c r="M220" s="29" t="s">
        <v>1934</v>
      </c>
      <c r="N220" s="27" t="s">
        <v>2253</v>
      </c>
      <c r="O220" s="29">
        <v>1</v>
      </c>
      <c r="P220" s="79">
        <v>528000</v>
      </c>
    </row>
    <row r="221" spans="1:16" ht="47.25">
      <c r="A221" s="11">
        <v>97</v>
      </c>
      <c r="B221" s="11"/>
      <c r="C221" s="34" t="s">
        <v>326</v>
      </c>
      <c r="D221" s="15" t="s">
        <v>325</v>
      </c>
      <c r="E221" s="29">
        <v>31.6</v>
      </c>
      <c r="F221" s="29"/>
      <c r="G221" s="30" t="s">
        <v>1884</v>
      </c>
      <c r="H221" s="29"/>
      <c r="I221" s="29"/>
      <c r="J221" s="30" t="s">
        <v>1328</v>
      </c>
      <c r="K221" s="25" t="s">
        <v>1885</v>
      </c>
      <c r="L221" s="31">
        <v>42652</v>
      </c>
      <c r="M221" s="29" t="s">
        <v>1934</v>
      </c>
      <c r="N221" s="27" t="s">
        <v>1886</v>
      </c>
      <c r="O221" s="29">
        <v>1</v>
      </c>
      <c r="P221" s="79">
        <f>577000</f>
        <v>577000</v>
      </c>
    </row>
    <row r="222" spans="1:16" ht="94.5">
      <c r="A222" s="11">
        <v>98</v>
      </c>
      <c r="B222" s="11"/>
      <c r="C222" s="34" t="s">
        <v>324</v>
      </c>
      <c r="D222" s="15" t="s">
        <v>323</v>
      </c>
      <c r="E222" s="29">
        <v>30.5</v>
      </c>
      <c r="F222" s="29"/>
      <c r="G222" s="30" t="s">
        <v>1909</v>
      </c>
      <c r="H222" s="29"/>
      <c r="I222" s="29"/>
      <c r="J222" s="30" t="s">
        <v>1328</v>
      </c>
      <c r="K222" s="15" t="s">
        <v>531</v>
      </c>
      <c r="L222" s="31">
        <v>40420</v>
      </c>
      <c r="M222" s="29" t="s">
        <v>1934</v>
      </c>
      <c r="N222" s="14" t="s">
        <v>472</v>
      </c>
      <c r="O222" s="29">
        <v>1</v>
      </c>
      <c r="P222" s="79">
        <f>46792.4</f>
        <v>46792.4</v>
      </c>
    </row>
    <row r="223" spans="1:16" ht="61.5" customHeight="1">
      <c r="A223" s="47">
        <v>99</v>
      </c>
      <c r="B223" s="11"/>
      <c r="C223" s="34" t="s">
        <v>322</v>
      </c>
      <c r="D223" s="15" t="s">
        <v>321</v>
      </c>
      <c r="E223" s="29">
        <v>33.2</v>
      </c>
      <c r="F223" s="29"/>
      <c r="G223" s="30" t="s">
        <v>1910</v>
      </c>
      <c r="H223" s="29"/>
      <c r="I223" s="29"/>
      <c r="J223" s="30" t="s">
        <v>1328</v>
      </c>
      <c r="K223" s="15" t="s">
        <v>532</v>
      </c>
      <c r="L223" s="31">
        <v>41209</v>
      </c>
      <c r="M223" s="29" t="s">
        <v>1934</v>
      </c>
      <c r="N223" s="14" t="s">
        <v>533</v>
      </c>
      <c r="O223" s="29">
        <v>1</v>
      </c>
      <c r="P223" s="79">
        <f>980000</f>
        <v>980000</v>
      </c>
    </row>
    <row r="224" spans="1:16" ht="31.5">
      <c r="A224" s="11">
        <v>100</v>
      </c>
      <c r="B224" s="11"/>
      <c r="C224" s="34" t="s">
        <v>320</v>
      </c>
      <c r="D224" s="15" t="s">
        <v>319</v>
      </c>
      <c r="E224" s="29">
        <v>33.2</v>
      </c>
      <c r="F224" s="29"/>
      <c r="G224" s="30" t="s">
        <v>1911</v>
      </c>
      <c r="H224" s="29"/>
      <c r="I224" s="29"/>
      <c r="J224" s="30" t="s">
        <v>1328</v>
      </c>
      <c r="K224" s="15" t="s">
        <v>534</v>
      </c>
      <c r="L224" s="31">
        <v>41209</v>
      </c>
      <c r="M224" s="29" t="s">
        <v>1934</v>
      </c>
      <c r="N224" s="14" t="s">
        <v>533</v>
      </c>
      <c r="O224" s="29">
        <v>1</v>
      </c>
      <c r="P224" s="79">
        <f>910000</f>
        <v>910000</v>
      </c>
    </row>
    <row r="225" spans="1:16" ht="87.75" customHeight="1">
      <c r="A225" s="11">
        <v>101</v>
      </c>
      <c r="B225" s="11"/>
      <c r="C225" s="34" t="s">
        <v>318</v>
      </c>
      <c r="D225" s="15" t="s">
        <v>317</v>
      </c>
      <c r="E225" s="29">
        <v>24.5</v>
      </c>
      <c r="F225" s="29"/>
      <c r="G225" s="30" t="s">
        <v>1912</v>
      </c>
      <c r="H225" s="29"/>
      <c r="I225" s="29"/>
      <c r="J225" s="30" t="s">
        <v>1328</v>
      </c>
      <c r="K225" s="15" t="s">
        <v>535</v>
      </c>
      <c r="L225" s="31">
        <v>40420</v>
      </c>
      <c r="M225" s="29" t="s">
        <v>1934</v>
      </c>
      <c r="N225" s="14" t="s">
        <v>472</v>
      </c>
      <c r="O225" s="29">
        <v>1</v>
      </c>
      <c r="P225" s="79">
        <f>38047.58</f>
        <v>38047.58</v>
      </c>
    </row>
    <row r="226" spans="1:16" ht="47.25">
      <c r="A226" s="11">
        <v>102</v>
      </c>
      <c r="B226" s="11"/>
      <c r="C226" s="36" t="s">
        <v>2254</v>
      </c>
      <c r="D226" s="25" t="s">
        <v>2255</v>
      </c>
      <c r="E226" s="29">
        <v>30.7</v>
      </c>
      <c r="F226" s="29"/>
      <c r="G226" s="30" t="s">
        <v>2256</v>
      </c>
      <c r="H226" s="29"/>
      <c r="I226" s="29"/>
      <c r="J226" s="30" t="s">
        <v>1328</v>
      </c>
      <c r="K226" s="30" t="s">
        <v>2257</v>
      </c>
      <c r="L226" s="31">
        <v>43901</v>
      </c>
      <c r="M226" s="29" t="s">
        <v>1934</v>
      </c>
      <c r="N226" s="27" t="s">
        <v>2258</v>
      </c>
      <c r="O226" s="29">
        <v>1</v>
      </c>
      <c r="P226" s="79">
        <v>543000</v>
      </c>
    </row>
    <row r="227" spans="1:16" ht="94.5">
      <c r="A227" s="11">
        <v>103</v>
      </c>
      <c r="B227" s="11"/>
      <c r="C227" s="34" t="s">
        <v>316</v>
      </c>
      <c r="D227" s="15" t="s">
        <v>315</v>
      </c>
      <c r="E227" s="29">
        <v>26.7</v>
      </c>
      <c r="F227" s="29"/>
      <c r="G227" s="30" t="s">
        <v>1913</v>
      </c>
      <c r="H227" s="29"/>
      <c r="I227" s="29"/>
      <c r="J227" s="30" t="s">
        <v>1328</v>
      </c>
      <c r="K227" s="15" t="s">
        <v>536</v>
      </c>
      <c r="L227" s="31">
        <v>40420</v>
      </c>
      <c r="M227" s="29" t="s">
        <v>1934</v>
      </c>
      <c r="N227" s="14" t="s">
        <v>472</v>
      </c>
      <c r="O227" s="29">
        <v>1</v>
      </c>
      <c r="P227" s="79">
        <f>46638.96</f>
        <v>46638.96</v>
      </c>
    </row>
    <row r="228" spans="1:16" ht="47.25">
      <c r="A228" s="11">
        <v>104</v>
      </c>
      <c r="B228" s="11"/>
      <c r="C228" s="36" t="s">
        <v>2328</v>
      </c>
      <c r="D228" s="25" t="s">
        <v>2329</v>
      </c>
      <c r="E228" s="29">
        <v>30.1</v>
      </c>
      <c r="F228" s="29"/>
      <c r="G228" s="30" t="s">
        <v>2330</v>
      </c>
      <c r="H228" s="29"/>
      <c r="I228" s="29"/>
      <c r="J228" s="30" t="s">
        <v>1328</v>
      </c>
      <c r="K228" s="30" t="s">
        <v>2336</v>
      </c>
      <c r="L228" s="31">
        <v>44074</v>
      </c>
      <c r="M228" s="29" t="s">
        <v>1934</v>
      </c>
      <c r="N228" s="27" t="s">
        <v>2331</v>
      </c>
      <c r="O228" s="29">
        <v>1</v>
      </c>
      <c r="P228" s="79">
        <v>565000</v>
      </c>
    </row>
    <row r="229" spans="1:16" ht="94.5">
      <c r="A229" s="47">
        <v>105</v>
      </c>
      <c r="B229" s="11"/>
      <c r="C229" s="34" t="s">
        <v>314</v>
      </c>
      <c r="D229" s="15" t="s">
        <v>313</v>
      </c>
      <c r="E229" s="29">
        <v>36.9</v>
      </c>
      <c r="F229" s="29"/>
      <c r="G229" s="30" t="s">
        <v>1914</v>
      </c>
      <c r="H229" s="29"/>
      <c r="I229" s="29"/>
      <c r="J229" s="30" t="s">
        <v>1328</v>
      </c>
      <c r="K229" s="15" t="s">
        <v>537</v>
      </c>
      <c r="L229" s="31">
        <v>40420</v>
      </c>
      <c r="M229" s="29" t="s">
        <v>1934</v>
      </c>
      <c r="N229" s="14" t="s">
        <v>472</v>
      </c>
      <c r="O229" s="29">
        <v>1</v>
      </c>
      <c r="P229" s="79">
        <f>56764.56</f>
        <v>56764.56</v>
      </c>
    </row>
    <row r="230" spans="1:16" ht="47.25">
      <c r="A230" s="11">
        <v>106</v>
      </c>
      <c r="B230" s="11"/>
      <c r="C230" s="36" t="s">
        <v>2259</v>
      </c>
      <c r="D230" s="25" t="s">
        <v>2260</v>
      </c>
      <c r="E230" s="29">
        <v>38.6</v>
      </c>
      <c r="F230" s="29"/>
      <c r="G230" s="30" t="s">
        <v>2261</v>
      </c>
      <c r="H230" s="29"/>
      <c r="I230" s="29"/>
      <c r="J230" s="30" t="s">
        <v>1328</v>
      </c>
      <c r="K230" s="30" t="s">
        <v>2262</v>
      </c>
      <c r="L230" s="31">
        <v>43893</v>
      </c>
      <c r="M230" s="29" t="s">
        <v>1934</v>
      </c>
      <c r="N230" s="27" t="s">
        <v>2263</v>
      </c>
      <c r="O230" s="29">
        <v>1</v>
      </c>
      <c r="P230" s="79">
        <v>765000</v>
      </c>
    </row>
    <row r="231" spans="1:16" ht="47.25">
      <c r="A231" s="11">
        <v>107</v>
      </c>
      <c r="B231" s="11"/>
      <c r="C231" s="34" t="s">
        <v>311</v>
      </c>
      <c r="D231" s="15" t="s">
        <v>310</v>
      </c>
      <c r="E231" s="29">
        <v>81.4</v>
      </c>
      <c r="F231" s="29"/>
      <c r="G231" s="29" t="s">
        <v>1768</v>
      </c>
      <c r="H231" s="29"/>
      <c r="I231" s="29"/>
      <c r="J231" s="30" t="s">
        <v>1328</v>
      </c>
      <c r="K231" s="15" t="s">
        <v>539</v>
      </c>
      <c r="L231" s="31">
        <v>41684</v>
      </c>
      <c r="M231" s="29" t="s">
        <v>1934</v>
      </c>
      <c r="N231" s="14" t="s">
        <v>538</v>
      </c>
      <c r="O231" s="29">
        <v>1</v>
      </c>
      <c r="P231" s="79">
        <f>3068118</f>
        <v>3068118</v>
      </c>
    </row>
    <row r="232" spans="1:16" ht="31.5">
      <c r="A232" s="47">
        <v>108</v>
      </c>
      <c r="B232" s="11"/>
      <c r="C232" s="34" t="s">
        <v>309</v>
      </c>
      <c r="D232" s="15" t="s">
        <v>308</v>
      </c>
      <c r="E232" s="29">
        <v>48</v>
      </c>
      <c r="F232" s="29"/>
      <c r="G232" s="30" t="s">
        <v>1769</v>
      </c>
      <c r="H232" s="29"/>
      <c r="I232" s="29"/>
      <c r="J232" s="30" t="s">
        <v>1328</v>
      </c>
      <c r="K232" s="15" t="s">
        <v>541</v>
      </c>
      <c r="L232" s="31">
        <v>40478</v>
      </c>
      <c r="M232" s="29" t="s">
        <v>1934</v>
      </c>
      <c r="N232" s="14" t="s">
        <v>540</v>
      </c>
      <c r="O232" s="29">
        <v>1</v>
      </c>
      <c r="P232" s="79">
        <f>105827.15</f>
        <v>105827.15</v>
      </c>
    </row>
    <row r="233" spans="1:16" ht="94.5">
      <c r="A233" s="11">
        <v>109</v>
      </c>
      <c r="B233" s="11"/>
      <c r="C233" s="34" t="s">
        <v>307</v>
      </c>
      <c r="D233" s="15" t="s">
        <v>306</v>
      </c>
      <c r="E233" s="29">
        <v>78.8</v>
      </c>
      <c r="F233" s="29"/>
      <c r="G233" s="30" t="s">
        <v>1890</v>
      </c>
      <c r="H233" s="29"/>
      <c r="I233" s="29"/>
      <c r="J233" s="30" t="s">
        <v>1325</v>
      </c>
      <c r="K233" s="15" t="s">
        <v>542</v>
      </c>
      <c r="L233" s="31">
        <v>41201</v>
      </c>
      <c r="M233" s="29" t="s">
        <v>1934</v>
      </c>
      <c r="N233" s="14" t="s">
        <v>472</v>
      </c>
      <c r="O233" s="29">
        <v>1</v>
      </c>
      <c r="P233" s="79">
        <f>408000</f>
        <v>408000</v>
      </c>
    </row>
    <row r="234" spans="1:16" ht="47.25">
      <c r="A234" s="11">
        <v>110</v>
      </c>
      <c r="B234" s="11"/>
      <c r="C234" s="36" t="s">
        <v>1979</v>
      </c>
      <c r="D234" s="25" t="s">
        <v>1980</v>
      </c>
      <c r="E234" s="29">
        <v>51.6</v>
      </c>
      <c r="F234" s="29"/>
      <c r="G234" s="30" t="s">
        <v>1981</v>
      </c>
      <c r="H234" s="29"/>
      <c r="I234" s="29"/>
      <c r="J234" s="30" t="s">
        <v>1328</v>
      </c>
      <c r="K234" s="30" t="s">
        <v>2337</v>
      </c>
      <c r="L234" s="31">
        <v>43606</v>
      </c>
      <c r="M234" s="29" t="s">
        <v>1934</v>
      </c>
      <c r="N234" s="27" t="s">
        <v>1982</v>
      </c>
      <c r="O234" s="29">
        <v>1</v>
      </c>
      <c r="P234" s="79">
        <v>504000</v>
      </c>
    </row>
    <row r="235" spans="1:16" ht="47.25">
      <c r="A235" s="11">
        <v>111</v>
      </c>
      <c r="B235" s="11"/>
      <c r="C235" s="36" t="s">
        <v>2281</v>
      </c>
      <c r="D235" s="25" t="s">
        <v>2282</v>
      </c>
      <c r="E235" s="29">
        <v>50.2</v>
      </c>
      <c r="F235" s="29"/>
      <c r="G235" s="30" t="s">
        <v>2283</v>
      </c>
      <c r="H235" s="29"/>
      <c r="I235" s="29"/>
      <c r="J235" s="30" t="s">
        <v>1328</v>
      </c>
      <c r="K235" s="30" t="s">
        <v>2338</v>
      </c>
      <c r="L235" s="31">
        <v>43907</v>
      </c>
      <c r="M235" s="29" t="s">
        <v>1934</v>
      </c>
      <c r="N235" s="27" t="s">
        <v>2284</v>
      </c>
      <c r="O235" s="29">
        <v>1</v>
      </c>
      <c r="P235" s="79">
        <v>1042000</v>
      </c>
    </row>
    <row r="236" spans="1:16" ht="94.5">
      <c r="A236" s="47">
        <v>112</v>
      </c>
      <c r="B236" s="11"/>
      <c r="C236" s="34" t="s">
        <v>305</v>
      </c>
      <c r="D236" s="15" t="s">
        <v>304</v>
      </c>
      <c r="E236" s="29">
        <v>40.5</v>
      </c>
      <c r="F236" s="29"/>
      <c r="G236" s="30" t="s">
        <v>1770</v>
      </c>
      <c r="H236" s="29"/>
      <c r="I236" s="29"/>
      <c r="J236" s="30" t="s">
        <v>1328</v>
      </c>
      <c r="K236" s="15" t="s">
        <v>543</v>
      </c>
      <c r="L236" s="31">
        <v>40442</v>
      </c>
      <c r="M236" s="29" t="s">
        <v>1934</v>
      </c>
      <c r="N236" s="14" t="s">
        <v>472</v>
      </c>
      <c r="O236" s="29">
        <v>1</v>
      </c>
      <c r="P236" s="79">
        <f>83544.17</f>
        <v>83544.17</v>
      </c>
    </row>
    <row r="237" spans="1:16" ht="94.5">
      <c r="A237" s="11">
        <v>113</v>
      </c>
      <c r="B237" s="11"/>
      <c r="C237" s="34" t="s">
        <v>303</v>
      </c>
      <c r="D237" s="15" t="s">
        <v>302</v>
      </c>
      <c r="E237" s="29">
        <v>30</v>
      </c>
      <c r="F237" s="29"/>
      <c r="G237" s="30" t="s">
        <v>1771</v>
      </c>
      <c r="H237" s="29"/>
      <c r="I237" s="29"/>
      <c r="J237" s="30" t="s">
        <v>1328</v>
      </c>
      <c r="K237" s="15" t="s">
        <v>544</v>
      </c>
      <c r="L237" s="31">
        <v>40443</v>
      </c>
      <c r="M237" s="29" t="s">
        <v>1934</v>
      </c>
      <c r="N237" s="14" t="s">
        <v>472</v>
      </c>
      <c r="O237" s="29">
        <v>1</v>
      </c>
      <c r="P237" s="79">
        <f>62608.75</f>
        <v>62608.75</v>
      </c>
    </row>
    <row r="238" spans="1:16" ht="47.25">
      <c r="A238" s="11">
        <v>114</v>
      </c>
      <c r="B238" s="11"/>
      <c r="C238" s="36" t="s">
        <v>1961</v>
      </c>
      <c r="D238" s="25" t="s">
        <v>1976</v>
      </c>
      <c r="E238" s="29">
        <v>41</v>
      </c>
      <c r="F238" s="29"/>
      <c r="G238" s="30" t="s">
        <v>1977</v>
      </c>
      <c r="H238" s="29"/>
      <c r="I238" s="29"/>
      <c r="J238" s="30" t="s">
        <v>1328</v>
      </c>
      <c r="K238" s="30" t="s">
        <v>2339</v>
      </c>
      <c r="L238" s="31">
        <v>43325</v>
      </c>
      <c r="M238" s="29" t="s">
        <v>1934</v>
      </c>
      <c r="N238" s="27" t="s">
        <v>1978</v>
      </c>
      <c r="O238" s="29">
        <v>1</v>
      </c>
      <c r="P238" s="79">
        <v>404000</v>
      </c>
    </row>
    <row r="239" spans="1:16" ht="94.5">
      <c r="A239" s="11">
        <v>115</v>
      </c>
      <c r="B239" s="11"/>
      <c r="C239" s="34" t="s">
        <v>301</v>
      </c>
      <c r="D239" s="15" t="s">
        <v>300</v>
      </c>
      <c r="E239" s="29">
        <v>30</v>
      </c>
      <c r="F239" s="29"/>
      <c r="G239" s="30" t="s">
        <v>1772</v>
      </c>
      <c r="H239" s="29"/>
      <c r="I239" s="29"/>
      <c r="J239" s="30" t="s">
        <v>1328</v>
      </c>
      <c r="K239" s="15" t="s">
        <v>545</v>
      </c>
      <c r="L239" s="31">
        <v>40560</v>
      </c>
      <c r="M239" s="29" t="s">
        <v>1934</v>
      </c>
      <c r="N239" s="14" t="s">
        <v>511</v>
      </c>
      <c r="O239" s="29">
        <v>1</v>
      </c>
      <c r="P239" s="79">
        <f>70252.16</f>
        <v>70252.16</v>
      </c>
    </row>
    <row r="240" spans="1:16" ht="94.5">
      <c r="A240" s="11">
        <v>116</v>
      </c>
      <c r="B240" s="11"/>
      <c r="C240" s="34" t="s">
        <v>299</v>
      </c>
      <c r="D240" s="15" t="s">
        <v>298</v>
      </c>
      <c r="E240" s="29">
        <v>68.4</v>
      </c>
      <c r="F240" s="29"/>
      <c r="G240" s="30" t="s">
        <v>1773</v>
      </c>
      <c r="H240" s="29"/>
      <c r="I240" s="29"/>
      <c r="J240" s="30" t="s">
        <v>1328</v>
      </c>
      <c r="K240" s="15" t="s">
        <v>546</v>
      </c>
      <c r="L240" s="31">
        <v>40442</v>
      </c>
      <c r="M240" s="29" t="s">
        <v>1934</v>
      </c>
      <c r="N240" s="14" t="s">
        <v>472</v>
      </c>
      <c r="O240" s="29">
        <v>1</v>
      </c>
      <c r="P240" s="79">
        <f>65843.53</f>
        <v>65843.53</v>
      </c>
    </row>
    <row r="241" spans="1:16" ht="47.25">
      <c r="A241" s="11">
        <v>117</v>
      </c>
      <c r="B241" s="11"/>
      <c r="C241" s="34" t="s">
        <v>297</v>
      </c>
      <c r="D241" s="15" t="s">
        <v>296</v>
      </c>
      <c r="E241" s="29">
        <v>56.4</v>
      </c>
      <c r="F241" s="29"/>
      <c r="G241" s="30" t="s">
        <v>1866</v>
      </c>
      <c r="H241" s="29"/>
      <c r="I241" s="29"/>
      <c r="J241" s="30" t="s">
        <v>1328</v>
      </c>
      <c r="K241" s="25" t="s">
        <v>1867</v>
      </c>
      <c r="L241" s="31">
        <v>42571</v>
      </c>
      <c r="M241" s="29" t="s">
        <v>1934</v>
      </c>
      <c r="N241" s="27" t="s">
        <v>1868</v>
      </c>
      <c r="O241" s="29">
        <v>1</v>
      </c>
      <c r="P241" s="79">
        <f>937000</f>
        <v>937000</v>
      </c>
    </row>
    <row r="242" spans="1:16" ht="94.5">
      <c r="A242" s="11">
        <v>118</v>
      </c>
      <c r="B242" s="11"/>
      <c r="C242" s="34" t="s">
        <v>295</v>
      </c>
      <c r="D242" s="15" t="s">
        <v>294</v>
      </c>
      <c r="E242" s="29">
        <v>36.6</v>
      </c>
      <c r="F242" s="29"/>
      <c r="G242" s="30" t="s">
        <v>1612</v>
      </c>
      <c r="H242" s="29"/>
      <c r="I242" s="29"/>
      <c r="J242" s="30" t="s">
        <v>1325</v>
      </c>
      <c r="K242" s="15" t="s">
        <v>547</v>
      </c>
      <c r="L242" s="31">
        <v>41234</v>
      </c>
      <c r="M242" s="29" t="s">
        <v>1934</v>
      </c>
      <c r="N242" s="14" t="s">
        <v>511</v>
      </c>
      <c r="O242" s="29">
        <v>1</v>
      </c>
      <c r="P242" s="79">
        <f>8461.42</f>
        <v>8461.42</v>
      </c>
    </row>
    <row r="243" spans="1:16" ht="63">
      <c r="A243" s="11">
        <v>119</v>
      </c>
      <c r="B243" s="11"/>
      <c r="C243" s="34" t="s">
        <v>293</v>
      </c>
      <c r="D243" s="15" t="s">
        <v>292</v>
      </c>
      <c r="E243" s="29">
        <v>40.7</v>
      </c>
      <c r="F243" s="29"/>
      <c r="G243" s="30" t="s">
        <v>1774</v>
      </c>
      <c r="H243" s="29"/>
      <c r="I243" s="29"/>
      <c r="J243" s="30" t="s">
        <v>1328</v>
      </c>
      <c r="K243" s="15" t="s">
        <v>549</v>
      </c>
      <c r="L243" s="31">
        <v>40135</v>
      </c>
      <c r="M243" s="29" t="s">
        <v>1934</v>
      </c>
      <c r="N243" s="14" t="s">
        <v>548</v>
      </c>
      <c r="O243" s="29">
        <v>1</v>
      </c>
      <c r="P243" s="79">
        <f>108998.66</f>
        <v>108998.66</v>
      </c>
    </row>
    <row r="244" spans="1:16" ht="47.25">
      <c r="A244" s="11">
        <v>120</v>
      </c>
      <c r="B244" s="11"/>
      <c r="C244" s="34" t="s">
        <v>291</v>
      </c>
      <c r="D244" s="15" t="s">
        <v>290</v>
      </c>
      <c r="E244" s="29">
        <v>53.1</v>
      </c>
      <c r="F244" s="29"/>
      <c r="G244" s="30" t="s">
        <v>1777</v>
      </c>
      <c r="H244" s="29"/>
      <c r="I244" s="29"/>
      <c r="J244" s="30" t="s">
        <v>1328</v>
      </c>
      <c r="K244" s="15" t="s">
        <v>551</v>
      </c>
      <c r="L244" s="31">
        <v>41209</v>
      </c>
      <c r="M244" s="29" t="s">
        <v>1934</v>
      </c>
      <c r="N244" s="14" t="s">
        <v>550</v>
      </c>
      <c r="O244" s="29">
        <v>1</v>
      </c>
      <c r="P244" s="79">
        <f>1425150.9</f>
        <v>1425150.9</v>
      </c>
    </row>
    <row r="245" spans="1:16" ht="47.25">
      <c r="A245" s="11">
        <v>121</v>
      </c>
      <c r="B245" s="11"/>
      <c r="C245" s="34" t="s">
        <v>289</v>
      </c>
      <c r="D245" s="15" t="s">
        <v>288</v>
      </c>
      <c r="E245" s="29">
        <v>67.2</v>
      </c>
      <c r="F245" s="29"/>
      <c r="G245" s="30" t="s">
        <v>1778</v>
      </c>
      <c r="H245" s="29"/>
      <c r="I245" s="29"/>
      <c r="J245" s="30" t="s">
        <v>1328</v>
      </c>
      <c r="K245" s="15" t="s">
        <v>553</v>
      </c>
      <c r="L245" s="31">
        <v>42045</v>
      </c>
      <c r="M245" s="29" t="s">
        <v>1934</v>
      </c>
      <c r="N245" s="14" t="s">
        <v>552</v>
      </c>
      <c r="O245" s="29">
        <v>1</v>
      </c>
      <c r="P245" s="79">
        <f>740000</f>
        <v>740000</v>
      </c>
    </row>
    <row r="246" spans="1:16" ht="63">
      <c r="A246" s="11">
        <v>122</v>
      </c>
      <c r="B246" s="11"/>
      <c r="C246" s="34" t="s">
        <v>287</v>
      </c>
      <c r="D246" s="15" t="s">
        <v>286</v>
      </c>
      <c r="E246" s="29">
        <v>24.3</v>
      </c>
      <c r="F246" s="29"/>
      <c r="G246" s="30" t="s">
        <v>1757</v>
      </c>
      <c r="H246" s="29"/>
      <c r="I246" s="29"/>
      <c r="J246" s="30" t="s">
        <v>1328</v>
      </c>
      <c r="K246" s="30" t="s">
        <v>1775</v>
      </c>
      <c r="L246" s="31">
        <v>42908</v>
      </c>
      <c r="M246" s="29" t="s">
        <v>1934</v>
      </c>
      <c r="N246" s="27" t="s">
        <v>1776</v>
      </c>
      <c r="O246" s="29">
        <v>1</v>
      </c>
      <c r="P246" s="79">
        <f>720000</f>
        <v>720000</v>
      </c>
    </row>
    <row r="247" spans="1:16" ht="31.5">
      <c r="A247" s="51">
        <v>123</v>
      </c>
      <c r="B247" s="11"/>
      <c r="C247" s="34" t="s">
        <v>285</v>
      </c>
      <c r="D247" s="15" t="s">
        <v>284</v>
      </c>
      <c r="E247" s="29">
        <v>23.8</v>
      </c>
      <c r="F247" s="29"/>
      <c r="G247" s="30" t="s">
        <v>1779</v>
      </c>
      <c r="H247" s="29"/>
      <c r="I247" s="29"/>
      <c r="J247" s="30" t="s">
        <v>1328</v>
      </c>
      <c r="K247" s="15" t="s">
        <v>555</v>
      </c>
      <c r="L247" s="31">
        <v>40883</v>
      </c>
      <c r="M247" s="29" t="s">
        <v>1934</v>
      </c>
      <c r="N247" s="14" t="s">
        <v>554</v>
      </c>
      <c r="O247" s="29">
        <v>1</v>
      </c>
      <c r="P247" s="79">
        <f>294000</f>
        <v>294000</v>
      </c>
    </row>
    <row r="248" spans="1:16" ht="63">
      <c r="A248" s="11">
        <v>124</v>
      </c>
      <c r="B248" s="11"/>
      <c r="C248" s="34" t="s">
        <v>283</v>
      </c>
      <c r="D248" s="15" t="s">
        <v>282</v>
      </c>
      <c r="E248" s="29">
        <v>26.6</v>
      </c>
      <c r="F248" s="29"/>
      <c r="G248" s="30" t="s">
        <v>1758</v>
      </c>
      <c r="H248" s="29"/>
      <c r="I248" s="29"/>
      <c r="J248" s="30" t="s">
        <v>1328</v>
      </c>
      <c r="K248" s="30" t="s">
        <v>2340</v>
      </c>
      <c r="L248" s="31">
        <v>42908</v>
      </c>
      <c r="M248" s="29" t="s">
        <v>1934</v>
      </c>
      <c r="N248" s="27" t="s">
        <v>1776</v>
      </c>
      <c r="O248" s="29">
        <v>1</v>
      </c>
      <c r="P248" s="79">
        <f>842000</f>
        <v>842000</v>
      </c>
    </row>
    <row r="249" spans="1:16" ht="31.5">
      <c r="A249" s="11">
        <v>125</v>
      </c>
      <c r="B249" s="11"/>
      <c r="C249" s="34" t="s">
        <v>281</v>
      </c>
      <c r="D249" s="15" t="s">
        <v>280</v>
      </c>
      <c r="E249" s="29">
        <v>23.8</v>
      </c>
      <c r="F249" s="29"/>
      <c r="G249" s="30" t="s">
        <v>1780</v>
      </c>
      <c r="H249" s="29"/>
      <c r="I249" s="29"/>
      <c r="J249" s="30" t="s">
        <v>1328</v>
      </c>
      <c r="K249" s="15" t="s">
        <v>556</v>
      </c>
      <c r="L249" s="31">
        <v>41620</v>
      </c>
      <c r="M249" s="29" t="s">
        <v>1934</v>
      </c>
      <c r="N249" s="14" t="s">
        <v>470</v>
      </c>
      <c r="O249" s="29">
        <v>1</v>
      </c>
      <c r="P249" s="79">
        <f>394000</f>
        <v>394000</v>
      </c>
    </row>
    <row r="250" spans="1:16" ht="31.5">
      <c r="A250" s="11">
        <v>126</v>
      </c>
      <c r="B250" s="11"/>
      <c r="C250" s="34" t="s">
        <v>279</v>
      </c>
      <c r="D250" s="15" t="s">
        <v>278</v>
      </c>
      <c r="E250" s="29">
        <v>26.6</v>
      </c>
      <c r="F250" s="29"/>
      <c r="G250" s="30" t="s">
        <v>1781</v>
      </c>
      <c r="H250" s="29"/>
      <c r="I250" s="29"/>
      <c r="J250" s="30" t="s">
        <v>1328</v>
      </c>
      <c r="K250" s="15" t="s">
        <v>558</v>
      </c>
      <c r="L250" s="31">
        <v>41449</v>
      </c>
      <c r="M250" s="29" t="s">
        <v>1934</v>
      </c>
      <c r="N250" s="14" t="s">
        <v>557</v>
      </c>
      <c r="O250" s="29">
        <v>1</v>
      </c>
      <c r="P250" s="79">
        <f>372000</f>
        <v>372000</v>
      </c>
    </row>
    <row r="251" spans="1:16" ht="47.25">
      <c r="A251" s="39">
        <v>127</v>
      </c>
      <c r="B251" s="11"/>
      <c r="C251" s="34" t="s">
        <v>277</v>
      </c>
      <c r="D251" s="15" t="s">
        <v>276</v>
      </c>
      <c r="E251" s="29">
        <v>41</v>
      </c>
      <c r="F251" s="29"/>
      <c r="G251" s="30" t="s">
        <v>1784</v>
      </c>
      <c r="H251" s="29"/>
      <c r="I251" s="29"/>
      <c r="J251" s="30" t="s">
        <v>1328</v>
      </c>
      <c r="K251" s="15" t="s">
        <v>593</v>
      </c>
      <c r="L251" s="31">
        <v>41779</v>
      </c>
      <c r="M251" s="29" t="s">
        <v>1934</v>
      </c>
      <c r="N251" s="27" t="s">
        <v>1783</v>
      </c>
      <c r="O251" s="29">
        <v>1</v>
      </c>
      <c r="P251" s="79">
        <f>1885184</f>
        <v>1885184</v>
      </c>
    </row>
    <row r="252" spans="1:16" ht="47.25">
      <c r="A252" s="11">
        <v>128</v>
      </c>
      <c r="B252" s="11"/>
      <c r="C252" s="34" t="s">
        <v>592</v>
      </c>
      <c r="D252" s="15" t="s">
        <v>591</v>
      </c>
      <c r="E252" s="29">
        <v>40</v>
      </c>
      <c r="F252" s="29"/>
      <c r="G252" s="30" t="s">
        <v>1782</v>
      </c>
      <c r="H252" s="29"/>
      <c r="I252" s="29"/>
      <c r="J252" s="30" t="s">
        <v>1328</v>
      </c>
      <c r="K252" s="15" t="s">
        <v>594</v>
      </c>
      <c r="L252" s="31">
        <v>41782</v>
      </c>
      <c r="M252" s="29" t="s">
        <v>1934</v>
      </c>
      <c r="N252" s="27" t="s">
        <v>1783</v>
      </c>
      <c r="O252" s="29">
        <v>1</v>
      </c>
      <c r="P252" s="79">
        <f>1799196.75</f>
        <v>1799196.75</v>
      </c>
    </row>
    <row r="253" spans="1:16" ht="47.25">
      <c r="A253" s="11">
        <v>129</v>
      </c>
      <c r="B253" s="11"/>
      <c r="C253" s="34" t="s">
        <v>590</v>
      </c>
      <c r="D253" s="15" t="s">
        <v>589</v>
      </c>
      <c r="E253" s="29">
        <v>52.3</v>
      </c>
      <c r="F253" s="29"/>
      <c r="G253" s="30" t="s">
        <v>1785</v>
      </c>
      <c r="H253" s="29"/>
      <c r="I253" s="29"/>
      <c r="J253" s="30" t="s">
        <v>1328</v>
      </c>
      <c r="K253" s="15" t="s">
        <v>595</v>
      </c>
      <c r="L253" s="31">
        <v>41782</v>
      </c>
      <c r="M253" s="29" t="s">
        <v>1934</v>
      </c>
      <c r="N253" s="27" t="s">
        <v>1783</v>
      </c>
      <c r="O253" s="29">
        <v>1</v>
      </c>
      <c r="P253" s="79">
        <f>2388697.5</f>
        <v>2388697.5</v>
      </c>
    </row>
    <row r="254" spans="1:16" ht="47.25">
      <c r="A254" s="11">
        <v>130</v>
      </c>
      <c r="B254" s="11"/>
      <c r="C254" s="34" t="s">
        <v>588</v>
      </c>
      <c r="D254" s="15" t="s">
        <v>587</v>
      </c>
      <c r="E254" s="29">
        <v>32.9</v>
      </c>
      <c r="F254" s="29"/>
      <c r="G254" s="30" t="s">
        <v>1786</v>
      </c>
      <c r="H254" s="29"/>
      <c r="I254" s="29"/>
      <c r="J254" s="30" t="s">
        <v>1328</v>
      </c>
      <c r="K254" s="15" t="s">
        <v>596</v>
      </c>
      <c r="L254" s="31">
        <v>41718</v>
      </c>
      <c r="M254" s="29" t="s">
        <v>1934</v>
      </c>
      <c r="N254" s="27" t="s">
        <v>1783</v>
      </c>
      <c r="O254" s="29">
        <v>1</v>
      </c>
      <c r="P254" s="79">
        <f>1510080.25</f>
        <v>1510080.25</v>
      </c>
    </row>
    <row r="255" spans="1:16" ht="47.25">
      <c r="A255" s="11">
        <v>131</v>
      </c>
      <c r="B255" s="11"/>
      <c r="C255" s="34" t="s">
        <v>586</v>
      </c>
      <c r="D255" s="15" t="s">
        <v>585</v>
      </c>
      <c r="E255" s="29">
        <v>42</v>
      </c>
      <c r="F255" s="29"/>
      <c r="G255" s="30" t="s">
        <v>1787</v>
      </c>
      <c r="H255" s="29"/>
      <c r="I255" s="29"/>
      <c r="J255" s="30" t="s">
        <v>1328</v>
      </c>
      <c r="K255" s="15" t="s">
        <v>597</v>
      </c>
      <c r="L255" s="31">
        <v>41782</v>
      </c>
      <c r="M255" s="29" t="s">
        <v>1934</v>
      </c>
      <c r="N255" s="27" t="s">
        <v>1783</v>
      </c>
      <c r="O255" s="29">
        <v>1</v>
      </c>
      <c r="P255" s="79">
        <f>1933050</f>
        <v>1933050</v>
      </c>
    </row>
    <row r="256" spans="1:16" ht="47.25">
      <c r="A256" s="11">
        <v>132</v>
      </c>
      <c r="B256" s="11"/>
      <c r="C256" s="34" t="s">
        <v>584</v>
      </c>
      <c r="D256" s="15" t="s">
        <v>583</v>
      </c>
      <c r="E256" s="29">
        <v>41.7</v>
      </c>
      <c r="F256" s="29"/>
      <c r="G256" s="30" t="s">
        <v>1788</v>
      </c>
      <c r="H256" s="29"/>
      <c r="I256" s="29"/>
      <c r="J256" s="30" t="s">
        <v>1328</v>
      </c>
      <c r="K256" s="15" t="s">
        <v>598</v>
      </c>
      <c r="L256" s="31">
        <v>41785</v>
      </c>
      <c r="M256" s="29" t="s">
        <v>1934</v>
      </c>
      <c r="N256" s="27" t="s">
        <v>1783</v>
      </c>
      <c r="O256" s="29">
        <v>1</v>
      </c>
      <c r="P256" s="79">
        <f>1919242.5</f>
        <v>1919242.5</v>
      </c>
    </row>
    <row r="257" spans="1:16" ht="47.25">
      <c r="A257" s="11">
        <v>133</v>
      </c>
      <c r="B257" s="11"/>
      <c r="C257" s="34" t="s">
        <v>582</v>
      </c>
      <c r="D257" s="15" t="s">
        <v>581</v>
      </c>
      <c r="E257" s="29">
        <v>43.6</v>
      </c>
      <c r="F257" s="29"/>
      <c r="G257" s="30" t="s">
        <v>1789</v>
      </c>
      <c r="H257" s="29"/>
      <c r="I257" s="29"/>
      <c r="J257" s="30" t="s">
        <v>1328</v>
      </c>
      <c r="K257" s="15" t="s">
        <v>599</v>
      </c>
      <c r="L257" s="31">
        <v>41785</v>
      </c>
      <c r="M257" s="29" t="s">
        <v>1934</v>
      </c>
      <c r="N257" s="27" t="s">
        <v>1783</v>
      </c>
      <c r="O257" s="29">
        <v>1</v>
      </c>
      <c r="P257" s="79">
        <f>1979075</f>
        <v>1979075</v>
      </c>
    </row>
    <row r="258" spans="1:16" ht="47.25">
      <c r="A258" s="11">
        <v>134</v>
      </c>
      <c r="B258" s="11"/>
      <c r="C258" s="34" t="s">
        <v>580</v>
      </c>
      <c r="D258" s="15" t="s">
        <v>579</v>
      </c>
      <c r="E258" s="29">
        <v>43.4</v>
      </c>
      <c r="F258" s="29"/>
      <c r="G258" s="30" t="s">
        <v>1790</v>
      </c>
      <c r="H258" s="29"/>
      <c r="I258" s="29"/>
      <c r="J258" s="30" t="s">
        <v>1328</v>
      </c>
      <c r="K258" s="15" t="s">
        <v>600</v>
      </c>
      <c r="L258" s="31">
        <v>41779</v>
      </c>
      <c r="M258" s="29" t="s">
        <v>1934</v>
      </c>
      <c r="N258" s="27" t="s">
        <v>1783</v>
      </c>
      <c r="O258" s="29">
        <v>1</v>
      </c>
      <c r="P258" s="79">
        <f>1969870</f>
        <v>1969870</v>
      </c>
    </row>
    <row r="259" spans="1:16" ht="47.25">
      <c r="A259" s="11">
        <v>135</v>
      </c>
      <c r="B259" s="11"/>
      <c r="C259" s="34" t="s">
        <v>578</v>
      </c>
      <c r="D259" s="15" t="s">
        <v>577</v>
      </c>
      <c r="E259" s="29">
        <v>42.5</v>
      </c>
      <c r="F259" s="29"/>
      <c r="G259" s="30" t="s">
        <v>1791</v>
      </c>
      <c r="H259" s="29"/>
      <c r="I259" s="29"/>
      <c r="J259" s="30" t="s">
        <v>1328</v>
      </c>
      <c r="K259" s="15" t="s">
        <v>601</v>
      </c>
      <c r="L259" s="31">
        <v>41785</v>
      </c>
      <c r="M259" s="29" t="s">
        <v>1934</v>
      </c>
      <c r="N259" s="27" t="s">
        <v>1783</v>
      </c>
      <c r="O259" s="29">
        <v>1</v>
      </c>
      <c r="P259" s="79">
        <f>1514682.75</f>
        <v>1514682.75</v>
      </c>
    </row>
    <row r="260" spans="1:16" ht="47.25">
      <c r="A260" s="11">
        <v>136</v>
      </c>
      <c r="B260" s="11"/>
      <c r="C260" s="34" t="s">
        <v>576</v>
      </c>
      <c r="D260" s="15" t="s">
        <v>575</v>
      </c>
      <c r="E260" s="29">
        <v>42.5</v>
      </c>
      <c r="F260" s="29"/>
      <c r="G260" s="30" t="s">
        <v>1792</v>
      </c>
      <c r="H260" s="29"/>
      <c r="I260" s="29"/>
      <c r="J260" s="30" t="s">
        <v>1328</v>
      </c>
      <c r="K260" s="25" t="s">
        <v>1793</v>
      </c>
      <c r="L260" s="31">
        <v>41785</v>
      </c>
      <c r="M260" s="29" t="s">
        <v>1934</v>
      </c>
      <c r="N260" s="27" t="s">
        <v>1783</v>
      </c>
      <c r="O260" s="29">
        <v>1</v>
      </c>
      <c r="P260" s="79">
        <f>1933050</f>
        <v>1933050</v>
      </c>
    </row>
    <row r="261" spans="1:16" ht="47.25">
      <c r="A261" s="11">
        <v>137</v>
      </c>
      <c r="B261" s="11"/>
      <c r="C261" s="34" t="s">
        <v>574</v>
      </c>
      <c r="D261" s="15" t="s">
        <v>573</v>
      </c>
      <c r="E261" s="29">
        <v>54.4</v>
      </c>
      <c r="F261" s="29"/>
      <c r="G261" s="30" t="s">
        <v>1794</v>
      </c>
      <c r="H261" s="29"/>
      <c r="I261" s="29"/>
      <c r="J261" s="30" t="s">
        <v>1328</v>
      </c>
      <c r="K261" s="15" t="s">
        <v>602</v>
      </c>
      <c r="L261" s="31">
        <v>41779</v>
      </c>
      <c r="M261" s="29" t="s">
        <v>1934</v>
      </c>
      <c r="N261" s="27" t="s">
        <v>1783</v>
      </c>
      <c r="O261" s="29">
        <v>1</v>
      </c>
      <c r="P261" s="79">
        <f>2470622</f>
        <v>2470622</v>
      </c>
    </row>
    <row r="262" spans="1:16" ht="84.75" customHeight="1">
      <c r="A262" s="11">
        <v>138</v>
      </c>
      <c r="B262" s="11"/>
      <c r="C262" s="34" t="s">
        <v>572</v>
      </c>
      <c r="D262" s="15" t="s">
        <v>571</v>
      </c>
      <c r="E262" s="29">
        <v>44.9</v>
      </c>
      <c r="F262" s="29"/>
      <c r="G262" s="30" t="s">
        <v>1613</v>
      </c>
      <c r="H262" s="29"/>
      <c r="I262" s="29"/>
      <c r="J262" s="30" t="s">
        <v>1325</v>
      </c>
      <c r="K262" s="15" t="s">
        <v>603</v>
      </c>
      <c r="L262" s="31">
        <v>41204</v>
      </c>
      <c r="M262" s="29" t="s">
        <v>1934</v>
      </c>
      <c r="N262" s="14" t="s">
        <v>472</v>
      </c>
      <c r="O262" s="29">
        <v>1</v>
      </c>
      <c r="P262" s="79">
        <f>155690.23</f>
        <v>155690.23</v>
      </c>
    </row>
    <row r="263" spans="1:16" ht="47.25">
      <c r="A263" s="11">
        <v>139</v>
      </c>
      <c r="B263" s="11"/>
      <c r="C263" s="34" t="s">
        <v>570</v>
      </c>
      <c r="D263" s="15" t="s">
        <v>569</v>
      </c>
      <c r="E263" s="29">
        <v>54.8</v>
      </c>
      <c r="F263" s="29"/>
      <c r="G263" s="30" t="s">
        <v>1918</v>
      </c>
      <c r="H263" s="29"/>
      <c r="I263" s="29"/>
      <c r="J263" s="30" t="s">
        <v>1328</v>
      </c>
      <c r="K263" s="15" t="s">
        <v>605</v>
      </c>
      <c r="L263" s="31">
        <v>41209</v>
      </c>
      <c r="M263" s="29" t="s">
        <v>1934</v>
      </c>
      <c r="N263" s="14" t="s">
        <v>604</v>
      </c>
      <c r="O263" s="29">
        <v>1</v>
      </c>
      <c r="P263" s="79">
        <f>1490000</f>
        <v>1490000</v>
      </c>
    </row>
    <row r="264" spans="1:16" ht="63">
      <c r="A264" s="11">
        <v>140</v>
      </c>
      <c r="B264" s="11"/>
      <c r="C264" s="36" t="s">
        <v>2546</v>
      </c>
      <c r="D264" s="25" t="s">
        <v>2547</v>
      </c>
      <c r="E264" s="29">
        <v>53.5</v>
      </c>
      <c r="F264" s="29"/>
      <c r="G264" s="30" t="s">
        <v>2548</v>
      </c>
      <c r="H264" s="29"/>
      <c r="I264" s="29"/>
      <c r="J264" s="30" t="s">
        <v>1328</v>
      </c>
      <c r="K264" s="30" t="s">
        <v>2549</v>
      </c>
      <c r="L264" s="31">
        <v>44267</v>
      </c>
      <c r="M264" s="29" t="s">
        <v>1934</v>
      </c>
      <c r="N264" s="27" t="s">
        <v>2550</v>
      </c>
      <c r="O264" s="29">
        <v>1</v>
      </c>
      <c r="P264" s="79">
        <v>980000</v>
      </c>
    </row>
    <row r="265" spans="1:16" ht="47.25">
      <c r="A265" s="11">
        <v>141</v>
      </c>
      <c r="B265" s="11"/>
      <c r="C265" s="34" t="s">
        <v>568</v>
      </c>
      <c r="D265" s="15" t="s">
        <v>567</v>
      </c>
      <c r="E265" s="29">
        <v>55.4</v>
      </c>
      <c r="F265" s="29"/>
      <c r="G265" s="30" t="s">
        <v>1795</v>
      </c>
      <c r="H265" s="29"/>
      <c r="I265" s="29"/>
      <c r="J265" s="30" t="s">
        <v>1328</v>
      </c>
      <c r="K265" s="15" t="s">
        <v>608</v>
      </c>
      <c r="L265" s="31">
        <v>40710</v>
      </c>
      <c r="M265" s="29" t="s">
        <v>1934</v>
      </c>
      <c r="N265" s="14" t="s">
        <v>607</v>
      </c>
      <c r="O265" s="29">
        <v>1</v>
      </c>
      <c r="P265" s="79">
        <f>1975529.6</f>
        <v>1975529.6</v>
      </c>
    </row>
    <row r="266" spans="1:16" ht="47.25">
      <c r="A266" s="11">
        <v>142</v>
      </c>
      <c r="B266" s="11"/>
      <c r="C266" s="34" t="s">
        <v>566</v>
      </c>
      <c r="D266" s="15" t="s">
        <v>565</v>
      </c>
      <c r="E266" s="29">
        <v>35.5</v>
      </c>
      <c r="F266" s="29"/>
      <c r="G266" s="30" t="s">
        <v>1796</v>
      </c>
      <c r="H266" s="29"/>
      <c r="I266" s="29"/>
      <c r="J266" s="30" t="s">
        <v>1328</v>
      </c>
      <c r="K266" s="15" t="s">
        <v>609</v>
      </c>
      <c r="L266" s="31">
        <v>40711</v>
      </c>
      <c r="M266" s="29" t="s">
        <v>1934</v>
      </c>
      <c r="N266" s="14" t="s">
        <v>606</v>
      </c>
      <c r="O266" s="29">
        <v>1</v>
      </c>
      <c r="P266" s="79">
        <f>1087991.75</f>
        <v>1087991.75</v>
      </c>
    </row>
    <row r="267" spans="1:16" ht="54" customHeight="1">
      <c r="A267" s="11">
        <v>143</v>
      </c>
      <c r="B267" s="11"/>
      <c r="C267" s="34" t="s">
        <v>564</v>
      </c>
      <c r="D267" s="15" t="s">
        <v>563</v>
      </c>
      <c r="E267" s="29">
        <v>54.1</v>
      </c>
      <c r="F267" s="29"/>
      <c r="G267" s="30" t="s">
        <v>1797</v>
      </c>
      <c r="H267" s="29"/>
      <c r="I267" s="29"/>
      <c r="J267" s="30" t="s">
        <v>1328</v>
      </c>
      <c r="K267" s="15" t="s">
        <v>610</v>
      </c>
      <c r="L267" s="31">
        <v>40789</v>
      </c>
      <c r="M267" s="29" t="s">
        <v>1934</v>
      </c>
      <c r="N267" s="27" t="s">
        <v>1798</v>
      </c>
      <c r="O267" s="29">
        <v>1</v>
      </c>
      <c r="P267" s="79">
        <f>1974650</f>
        <v>1974650</v>
      </c>
    </row>
    <row r="268" spans="1:16" ht="63">
      <c r="A268" s="11">
        <v>144</v>
      </c>
      <c r="B268" s="11"/>
      <c r="C268" s="36" t="s">
        <v>2277</v>
      </c>
      <c r="D268" s="25" t="s">
        <v>2278</v>
      </c>
      <c r="E268" s="29">
        <v>35.1</v>
      </c>
      <c r="F268" s="29"/>
      <c r="G268" s="30" t="s">
        <v>2279</v>
      </c>
      <c r="H268" s="29"/>
      <c r="I268" s="29"/>
      <c r="J268" s="30" t="s">
        <v>1328</v>
      </c>
      <c r="K268" s="30" t="s">
        <v>2341</v>
      </c>
      <c r="L268" s="31">
        <v>43901</v>
      </c>
      <c r="M268" s="29" t="s">
        <v>1934</v>
      </c>
      <c r="N268" s="27" t="s">
        <v>2280</v>
      </c>
      <c r="O268" s="29">
        <v>1</v>
      </c>
      <c r="P268" s="79">
        <v>975000</v>
      </c>
    </row>
    <row r="269" spans="1:16" ht="47.25">
      <c r="A269" s="11">
        <v>145</v>
      </c>
      <c r="B269" s="11"/>
      <c r="C269" s="34" t="s">
        <v>562</v>
      </c>
      <c r="D269" s="15" t="s">
        <v>561</v>
      </c>
      <c r="E269" s="29">
        <v>54.2</v>
      </c>
      <c r="F269" s="29"/>
      <c r="G269" s="30" t="s">
        <v>1799</v>
      </c>
      <c r="H269" s="29"/>
      <c r="I269" s="29"/>
      <c r="J269" s="30" t="s">
        <v>1328</v>
      </c>
      <c r="K269" s="15" t="s">
        <v>612</v>
      </c>
      <c r="L269" s="31">
        <v>40725</v>
      </c>
      <c r="M269" s="29" t="s">
        <v>1934</v>
      </c>
      <c r="N269" s="14" t="s">
        <v>611</v>
      </c>
      <c r="O269" s="29">
        <v>1</v>
      </c>
      <c r="P269" s="79">
        <f>1978300</f>
        <v>1978300</v>
      </c>
    </row>
    <row r="270" spans="1:16" ht="47.25">
      <c r="A270" s="7">
        <v>146</v>
      </c>
      <c r="B270" s="11"/>
      <c r="C270" s="34" t="s">
        <v>560</v>
      </c>
      <c r="D270" s="15" t="s">
        <v>559</v>
      </c>
      <c r="E270" s="29">
        <v>72.6</v>
      </c>
      <c r="F270" s="29"/>
      <c r="G270" s="30" t="s">
        <v>1800</v>
      </c>
      <c r="H270" s="29"/>
      <c r="I270" s="29"/>
      <c r="J270" s="30" t="s">
        <v>1328</v>
      </c>
      <c r="K270" s="15" t="s">
        <v>614</v>
      </c>
      <c r="L270" s="31">
        <v>40773</v>
      </c>
      <c r="M270" s="29" t="s">
        <v>1934</v>
      </c>
      <c r="N270" s="14" t="s">
        <v>613</v>
      </c>
      <c r="O270" s="29">
        <v>1</v>
      </c>
      <c r="P270" s="79">
        <f>2649900</f>
        <v>2649900</v>
      </c>
    </row>
    <row r="271" spans="1:16" ht="94.5">
      <c r="A271" s="39">
        <v>147</v>
      </c>
      <c r="B271" s="11"/>
      <c r="C271" s="34" t="s">
        <v>680</v>
      </c>
      <c r="D271" s="15" t="s">
        <v>679</v>
      </c>
      <c r="E271" s="29">
        <v>57.2</v>
      </c>
      <c r="F271" s="29"/>
      <c r="G271" s="30" t="s">
        <v>1614</v>
      </c>
      <c r="H271" s="29"/>
      <c r="I271" s="29"/>
      <c r="J271" s="30" t="s">
        <v>1325</v>
      </c>
      <c r="K271" s="15" t="s">
        <v>681</v>
      </c>
      <c r="L271" s="31">
        <v>41199</v>
      </c>
      <c r="M271" s="29" t="s">
        <v>1934</v>
      </c>
      <c r="N271" s="14" t="s">
        <v>472</v>
      </c>
      <c r="O271" s="29">
        <v>1</v>
      </c>
      <c r="P271" s="79">
        <f>165714.93</f>
        <v>165714.93</v>
      </c>
    </row>
    <row r="272" spans="1:16" ht="84.75" customHeight="1">
      <c r="A272" s="11">
        <v>148</v>
      </c>
      <c r="B272" s="11"/>
      <c r="C272" s="34" t="s">
        <v>678</v>
      </c>
      <c r="D272" s="15" t="s">
        <v>677</v>
      </c>
      <c r="E272" s="29">
        <v>41.2</v>
      </c>
      <c r="F272" s="29"/>
      <c r="G272" s="30" t="s">
        <v>1615</v>
      </c>
      <c r="H272" s="29"/>
      <c r="I272" s="29"/>
      <c r="J272" s="30" t="s">
        <v>1325</v>
      </c>
      <c r="K272" s="15" t="s">
        <v>682</v>
      </c>
      <c r="L272" s="31">
        <v>41155</v>
      </c>
      <c r="M272" s="29" t="s">
        <v>1934</v>
      </c>
      <c r="N272" s="14" t="s">
        <v>472</v>
      </c>
      <c r="O272" s="29">
        <v>1</v>
      </c>
      <c r="P272" s="79">
        <f>241220.35</f>
        <v>241220.35</v>
      </c>
    </row>
    <row r="273" spans="1:16" ht="81.75" customHeight="1">
      <c r="A273" s="11">
        <v>149</v>
      </c>
      <c r="B273" s="11"/>
      <c r="C273" s="34" t="s">
        <v>676</v>
      </c>
      <c r="D273" s="15" t="s">
        <v>675</v>
      </c>
      <c r="E273" s="29">
        <v>39.5</v>
      </c>
      <c r="F273" s="29"/>
      <c r="G273" s="30" t="s">
        <v>1616</v>
      </c>
      <c r="H273" s="29"/>
      <c r="I273" s="29"/>
      <c r="J273" s="30" t="s">
        <v>1325</v>
      </c>
      <c r="K273" s="15" t="s">
        <v>683</v>
      </c>
      <c r="L273" s="31">
        <v>41153</v>
      </c>
      <c r="M273" s="29" t="s">
        <v>1934</v>
      </c>
      <c r="N273" s="14" t="s">
        <v>472</v>
      </c>
      <c r="O273" s="29">
        <v>1</v>
      </c>
      <c r="P273" s="79">
        <f>222885.32</f>
        <v>222885.32</v>
      </c>
    </row>
    <row r="274" spans="1:16" ht="86.25" customHeight="1">
      <c r="A274" s="11">
        <v>150</v>
      </c>
      <c r="B274" s="11"/>
      <c r="C274" s="34" t="s">
        <v>674</v>
      </c>
      <c r="D274" s="15" t="s">
        <v>673</v>
      </c>
      <c r="E274" s="29">
        <v>36</v>
      </c>
      <c r="F274" s="29"/>
      <c r="G274" s="30" t="s">
        <v>1617</v>
      </c>
      <c r="H274" s="29"/>
      <c r="I274" s="29"/>
      <c r="J274" s="30" t="s">
        <v>1325</v>
      </c>
      <c r="K274" s="15" t="s">
        <v>684</v>
      </c>
      <c r="L274" s="31">
        <v>41153</v>
      </c>
      <c r="M274" s="29" t="s">
        <v>1934</v>
      </c>
      <c r="N274" s="14" t="s">
        <v>472</v>
      </c>
      <c r="O274" s="29">
        <v>1</v>
      </c>
      <c r="P274" s="79">
        <f>206269.19</f>
        <v>206269.19</v>
      </c>
    </row>
    <row r="275" spans="1:16" ht="94.5">
      <c r="A275" s="11">
        <v>151</v>
      </c>
      <c r="B275" s="11"/>
      <c r="C275" s="34" t="s">
        <v>672</v>
      </c>
      <c r="D275" s="15" t="s">
        <v>671</v>
      </c>
      <c r="E275" s="29">
        <v>35.9</v>
      </c>
      <c r="F275" s="29"/>
      <c r="G275" s="30" t="s">
        <v>1618</v>
      </c>
      <c r="H275" s="29"/>
      <c r="I275" s="29"/>
      <c r="J275" s="30" t="s">
        <v>1325</v>
      </c>
      <c r="K275" s="15" t="s">
        <v>685</v>
      </c>
      <c r="L275" s="31">
        <v>41155</v>
      </c>
      <c r="M275" s="29" t="s">
        <v>1934</v>
      </c>
      <c r="N275" s="14" t="s">
        <v>472</v>
      </c>
      <c r="O275" s="29">
        <v>1</v>
      </c>
      <c r="P275" s="79">
        <f>205696.22</f>
        <v>205696.22</v>
      </c>
    </row>
    <row r="276" spans="1:16" ht="94.5">
      <c r="A276" s="11">
        <v>152</v>
      </c>
      <c r="B276" s="11"/>
      <c r="C276" s="34" t="s">
        <v>670</v>
      </c>
      <c r="D276" s="15" t="s">
        <v>669</v>
      </c>
      <c r="E276" s="29">
        <v>29.6</v>
      </c>
      <c r="F276" s="29"/>
      <c r="G276" s="30" t="s">
        <v>1619</v>
      </c>
      <c r="H276" s="29"/>
      <c r="I276" s="29"/>
      <c r="J276" s="30" t="s">
        <v>1325</v>
      </c>
      <c r="K276" s="15" t="s">
        <v>686</v>
      </c>
      <c r="L276" s="31">
        <v>41153</v>
      </c>
      <c r="M276" s="29" t="s">
        <v>1934</v>
      </c>
      <c r="N276" s="14" t="s">
        <v>472</v>
      </c>
      <c r="O276" s="29">
        <v>1</v>
      </c>
      <c r="P276" s="79">
        <f>169599.11</f>
        <v>169599.11</v>
      </c>
    </row>
    <row r="277" spans="1:16" ht="94.5">
      <c r="A277" s="11">
        <v>153</v>
      </c>
      <c r="B277" s="11"/>
      <c r="C277" s="34" t="s">
        <v>668</v>
      </c>
      <c r="D277" s="15" t="s">
        <v>667</v>
      </c>
      <c r="E277" s="29">
        <v>35.9</v>
      </c>
      <c r="F277" s="29"/>
      <c r="G277" s="30" t="s">
        <v>1620</v>
      </c>
      <c r="H277" s="29"/>
      <c r="I277" s="29"/>
      <c r="J277" s="30" t="s">
        <v>1325</v>
      </c>
      <c r="K277" s="15" t="s">
        <v>687</v>
      </c>
      <c r="L277" s="31">
        <v>41155</v>
      </c>
      <c r="M277" s="29" t="s">
        <v>1934</v>
      </c>
      <c r="N277" s="14" t="s">
        <v>472</v>
      </c>
      <c r="O277" s="29">
        <v>1</v>
      </c>
      <c r="P277" s="79">
        <f>201112.46</f>
        <v>201112.46</v>
      </c>
    </row>
    <row r="278" spans="1:16" ht="94.5">
      <c r="A278" s="11">
        <v>154</v>
      </c>
      <c r="B278" s="11"/>
      <c r="C278" s="34" t="s">
        <v>666</v>
      </c>
      <c r="D278" s="15" t="s">
        <v>665</v>
      </c>
      <c r="E278" s="29">
        <v>17.6</v>
      </c>
      <c r="F278" s="29"/>
      <c r="G278" s="30" t="s">
        <v>1621</v>
      </c>
      <c r="H278" s="29"/>
      <c r="I278" s="29"/>
      <c r="J278" s="30" t="s">
        <v>1325</v>
      </c>
      <c r="K278" s="15" t="s">
        <v>688</v>
      </c>
      <c r="L278" s="31">
        <v>41153</v>
      </c>
      <c r="M278" s="29" t="s">
        <v>1934</v>
      </c>
      <c r="N278" s="14" t="s">
        <v>472</v>
      </c>
      <c r="O278" s="29">
        <v>1</v>
      </c>
      <c r="P278" s="79">
        <f>100842.7</f>
        <v>100842.7</v>
      </c>
    </row>
    <row r="279" spans="1:16" ht="94.5">
      <c r="A279" s="11">
        <v>155</v>
      </c>
      <c r="B279" s="11"/>
      <c r="C279" s="34" t="s">
        <v>664</v>
      </c>
      <c r="D279" s="15" t="s">
        <v>663</v>
      </c>
      <c r="E279" s="29">
        <v>36</v>
      </c>
      <c r="F279" s="29"/>
      <c r="G279" s="30" t="s">
        <v>1622</v>
      </c>
      <c r="H279" s="29"/>
      <c r="I279" s="29"/>
      <c r="J279" s="30" t="s">
        <v>1325</v>
      </c>
      <c r="K279" s="15" t="s">
        <v>689</v>
      </c>
      <c r="L279" s="31">
        <v>41152</v>
      </c>
      <c r="M279" s="29" t="s">
        <v>1934</v>
      </c>
      <c r="N279" s="14" t="s">
        <v>472</v>
      </c>
      <c r="O279" s="29">
        <v>1</v>
      </c>
      <c r="P279" s="79">
        <f>206842.16</f>
        <v>206842.16</v>
      </c>
    </row>
    <row r="280" spans="1:16" ht="94.5">
      <c r="A280" s="11">
        <v>156</v>
      </c>
      <c r="B280" s="11"/>
      <c r="C280" s="34" t="s">
        <v>662</v>
      </c>
      <c r="D280" s="15" t="s">
        <v>661</v>
      </c>
      <c r="E280" s="29">
        <v>34.5</v>
      </c>
      <c r="F280" s="29"/>
      <c r="G280" s="30" t="s">
        <v>1623</v>
      </c>
      <c r="H280" s="29"/>
      <c r="I280" s="29"/>
      <c r="J280" s="30" t="s">
        <v>1325</v>
      </c>
      <c r="K280" s="15" t="s">
        <v>690</v>
      </c>
      <c r="L280" s="31">
        <v>41155</v>
      </c>
      <c r="M280" s="29" t="s">
        <v>1934</v>
      </c>
      <c r="N280" s="14" t="s">
        <v>472</v>
      </c>
      <c r="O280" s="29">
        <v>1</v>
      </c>
      <c r="P280" s="79">
        <f>199966.52</f>
        <v>199966.52</v>
      </c>
    </row>
    <row r="281" spans="1:16" ht="94.5">
      <c r="A281" s="11">
        <v>157</v>
      </c>
      <c r="B281" s="11"/>
      <c r="C281" s="34" t="s">
        <v>660</v>
      </c>
      <c r="D281" s="15" t="s">
        <v>659</v>
      </c>
      <c r="E281" s="29">
        <v>35.5</v>
      </c>
      <c r="F281" s="29"/>
      <c r="G281" s="30" t="s">
        <v>1624</v>
      </c>
      <c r="H281" s="29"/>
      <c r="I281" s="29"/>
      <c r="J281" s="30" t="s">
        <v>1325</v>
      </c>
      <c r="K281" s="15" t="s">
        <v>691</v>
      </c>
      <c r="L281" s="31">
        <v>41153</v>
      </c>
      <c r="M281" s="29" t="s">
        <v>1934</v>
      </c>
      <c r="N281" s="14" t="s">
        <v>472</v>
      </c>
      <c r="O281" s="29">
        <v>1</v>
      </c>
      <c r="P281" s="79">
        <f>203404.34</f>
        <v>203404.34</v>
      </c>
    </row>
    <row r="282" spans="1:16" ht="94.5">
      <c r="A282" s="11">
        <v>158</v>
      </c>
      <c r="B282" s="11"/>
      <c r="C282" s="34" t="s">
        <v>658</v>
      </c>
      <c r="D282" s="15" t="s">
        <v>657</v>
      </c>
      <c r="E282" s="29">
        <v>38.3</v>
      </c>
      <c r="F282" s="29"/>
      <c r="G282" s="30" t="s">
        <v>1625</v>
      </c>
      <c r="H282" s="29"/>
      <c r="I282" s="29"/>
      <c r="J282" s="30" t="s">
        <v>1325</v>
      </c>
      <c r="K282" s="15" t="s">
        <v>692</v>
      </c>
      <c r="L282" s="31">
        <v>41213</v>
      </c>
      <c r="M282" s="29" t="s">
        <v>1934</v>
      </c>
      <c r="N282" s="14" t="s">
        <v>472</v>
      </c>
      <c r="O282" s="29">
        <v>1</v>
      </c>
      <c r="P282" s="79">
        <f>219447.5</f>
        <v>219447.5</v>
      </c>
    </row>
    <row r="283" spans="1:16" ht="94.5">
      <c r="A283" s="11">
        <v>159</v>
      </c>
      <c r="B283" s="11"/>
      <c r="C283" s="34" t="s">
        <v>656</v>
      </c>
      <c r="D283" s="15" t="s">
        <v>655</v>
      </c>
      <c r="E283" s="29">
        <v>72</v>
      </c>
      <c r="F283" s="29"/>
      <c r="G283" s="30" t="s">
        <v>1626</v>
      </c>
      <c r="H283" s="29"/>
      <c r="I283" s="29"/>
      <c r="J283" s="30" t="s">
        <v>1325</v>
      </c>
      <c r="K283" s="15" t="s">
        <v>693</v>
      </c>
      <c r="L283" s="31">
        <v>41207</v>
      </c>
      <c r="M283" s="29" t="s">
        <v>1934</v>
      </c>
      <c r="N283" s="14" t="s">
        <v>472</v>
      </c>
      <c r="O283" s="29">
        <v>1</v>
      </c>
      <c r="P283" s="79">
        <f>414257.28</f>
        <v>414257.28</v>
      </c>
    </row>
    <row r="284" spans="1:16" ht="94.5">
      <c r="A284" s="11">
        <v>160</v>
      </c>
      <c r="B284" s="11"/>
      <c r="C284" s="34" t="s">
        <v>654</v>
      </c>
      <c r="D284" s="15" t="s">
        <v>653</v>
      </c>
      <c r="E284" s="29">
        <v>52.2</v>
      </c>
      <c r="F284" s="29"/>
      <c r="G284" s="30" t="s">
        <v>1627</v>
      </c>
      <c r="H284" s="29"/>
      <c r="I284" s="29"/>
      <c r="J284" s="30" t="s">
        <v>1325</v>
      </c>
      <c r="K284" s="15" t="s">
        <v>694</v>
      </c>
      <c r="L284" s="31">
        <v>41213</v>
      </c>
      <c r="M284" s="29" t="s">
        <v>1934</v>
      </c>
      <c r="N284" s="14" t="s">
        <v>472</v>
      </c>
      <c r="O284" s="29">
        <v>1</v>
      </c>
      <c r="P284" s="79">
        <f>298517.35</f>
        <v>298517.35</v>
      </c>
    </row>
    <row r="285" spans="1:16" ht="94.5">
      <c r="A285" s="11">
        <v>161</v>
      </c>
      <c r="B285" s="11"/>
      <c r="C285" s="34" t="s">
        <v>652</v>
      </c>
      <c r="D285" s="15" t="s">
        <v>651</v>
      </c>
      <c r="E285" s="29">
        <v>39.2</v>
      </c>
      <c r="F285" s="29"/>
      <c r="G285" s="30" t="s">
        <v>1628</v>
      </c>
      <c r="H285" s="29"/>
      <c r="I285" s="29"/>
      <c r="J285" s="30" t="s">
        <v>1325</v>
      </c>
      <c r="K285" s="15" t="s">
        <v>695</v>
      </c>
      <c r="L285" s="31">
        <v>41199</v>
      </c>
      <c r="M285" s="29" t="s">
        <v>1934</v>
      </c>
      <c r="N285" s="14" t="s">
        <v>472</v>
      </c>
      <c r="O285" s="29">
        <v>1</v>
      </c>
      <c r="P285" s="79">
        <f>224031.26</f>
        <v>224031.26</v>
      </c>
    </row>
    <row r="286" spans="1:16" ht="94.5">
      <c r="A286" s="11">
        <v>162</v>
      </c>
      <c r="B286" s="11"/>
      <c r="C286" s="34" t="s">
        <v>650</v>
      </c>
      <c r="D286" s="15" t="s">
        <v>649</v>
      </c>
      <c r="E286" s="29">
        <v>40.7</v>
      </c>
      <c r="F286" s="29"/>
      <c r="G286" s="30" t="s">
        <v>1629</v>
      </c>
      <c r="H286" s="29"/>
      <c r="I286" s="29"/>
      <c r="J286" s="30" t="s">
        <v>1325</v>
      </c>
      <c r="K286" s="15" t="s">
        <v>696</v>
      </c>
      <c r="L286" s="31">
        <v>41204</v>
      </c>
      <c r="M286" s="29" t="s">
        <v>1934</v>
      </c>
      <c r="N286" s="14" t="s">
        <v>472</v>
      </c>
      <c r="O286" s="29">
        <v>1</v>
      </c>
      <c r="P286" s="79">
        <f>240647.39</f>
        <v>240647.39</v>
      </c>
    </row>
    <row r="287" spans="1:16" ht="94.5">
      <c r="A287" s="11">
        <v>163</v>
      </c>
      <c r="B287" s="11"/>
      <c r="C287" s="34" t="s">
        <v>648</v>
      </c>
      <c r="D287" s="15" t="s">
        <v>647</v>
      </c>
      <c r="E287" s="29">
        <v>35.5</v>
      </c>
      <c r="F287" s="29"/>
      <c r="G287" s="30" t="s">
        <v>1630</v>
      </c>
      <c r="H287" s="29"/>
      <c r="I287" s="29"/>
      <c r="J287" s="30" t="s">
        <v>1325</v>
      </c>
      <c r="K287" s="15" t="s">
        <v>697</v>
      </c>
      <c r="L287" s="31">
        <v>41204</v>
      </c>
      <c r="M287" s="29" t="s">
        <v>1934</v>
      </c>
      <c r="N287" s="14" t="s">
        <v>472</v>
      </c>
      <c r="O287" s="29">
        <v>1</v>
      </c>
      <c r="P287" s="79">
        <f>203977.3</f>
        <v>203977.3</v>
      </c>
    </row>
    <row r="288" spans="1:16" ht="94.5">
      <c r="A288" s="11">
        <v>164</v>
      </c>
      <c r="B288" s="11"/>
      <c r="C288" s="34" t="s">
        <v>646</v>
      </c>
      <c r="D288" s="15" t="s">
        <v>645</v>
      </c>
      <c r="E288" s="29">
        <v>36.3</v>
      </c>
      <c r="F288" s="29"/>
      <c r="G288" s="30" t="s">
        <v>1631</v>
      </c>
      <c r="H288" s="29"/>
      <c r="I288" s="29"/>
      <c r="J288" s="30" t="s">
        <v>1325</v>
      </c>
      <c r="K288" s="15" t="s">
        <v>698</v>
      </c>
      <c r="L288" s="31">
        <v>41213</v>
      </c>
      <c r="M288" s="29" t="s">
        <v>1934</v>
      </c>
      <c r="N288" s="14" t="s">
        <v>472</v>
      </c>
      <c r="O288" s="29">
        <v>1</v>
      </c>
      <c r="P288" s="79">
        <f>205123.25</f>
        <v>205123.25</v>
      </c>
    </row>
    <row r="289" spans="1:16" ht="94.5">
      <c r="A289" s="11">
        <v>165</v>
      </c>
      <c r="B289" s="11"/>
      <c r="C289" s="34" t="s">
        <v>644</v>
      </c>
      <c r="D289" s="15" t="s">
        <v>643</v>
      </c>
      <c r="E289" s="29">
        <v>36.4</v>
      </c>
      <c r="F289" s="29"/>
      <c r="G289" s="30" t="s">
        <v>1632</v>
      </c>
      <c r="H289" s="29"/>
      <c r="I289" s="29"/>
      <c r="J289" s="30" t="s">
        <v>1325</v>
      </c>
      <c r="K289" s="15" t="s">
        <v>699</v>
      </c>
      <c r="L289" s="31">
        <v>41213</v>
      </c>
      <c r="M289" s="29" t="s">
        <v>1934</v>
      </c>
      <c r="N289" s="14" t="s">
        <v>472</v>
      </c>
      <c r="O289" s="29">
        <v>1</v>
      </c>
      <c r="P289" s="79">
        <f>208561.07</f>
        <v>208561.07</v>
      </c>
    </row>
    <row r="290" spans="1:16" ht="94.5">
      <c r="A290" s="11">
        <v>166</v>
      </c>
      <c r="B290" s="11"/>
      <c r="C290" s="34" t="s">
        <v>642</v>
      </c>
      <c r="D290" s="15" t="s">
        <v>641</v>
      </c>
      <c r="E290" s="29">
        <v>29.6</v>
      </c>
      <c r="F290" s="29"/>
      <c r="G290" s="30" t="s">
        <v>1633</v>
      </c>
      <c r="H290" s="29"/>
      <c r="I290" s="29"/>
      <c r="J290" s="30" t="s">
        <v>1325</v>
      </c>
      <c r="K290" s="15" t="s">
        <v>700</v>
      </c>
      <c r="L290" s="31">
        <v>41120</v>
      </c>
      <c r="M290" s="29" t="s">
        <v>1934</v>
      </c>
      <c r="N290" s="14" t="s">
        <v>472</v>
      </c>
      <c r="O290" s="29">
        <v>1</v>
      </c>
      <c r="P290" s="79">
        <f>167307.23</f>
        <v>167307.23</v>
      </c>
    </row>
    <row r="291" spans="1:16" ht="94.5">
      <c r="A291" s="11">
        <v>167</v>
      </c>
      <c r="B291" s="11"/>
      <c r="C291" s="34" t="s">
        <v>640</v>
      </c>
      <c r="D291" s="15" t="s">
        <v>639</v>
      </c>
      <c r="E291" s="29">
        <v>36.3</v>
      </c>
      <c r="F291" s="29"/>
      <c r="G291" s="30" t="s">
        <v>1634</v>
      </c>
      <c r="H291" s="29"/>
      <c r="I291" s="29"/>
      <c r="J291" s="30" t="s">
        <v>1325</v>
      </c>
      <c r="K291" s="15" t="s">
        <v>701</v>
      </c>
      <c r="L291" s="31">
        <v>41120</v>
      </c>
      <c r="M291" s="29" t="s">
        <v>1934</v>
      </c>
      <c r="N291" s="14" t="s">
        <v>472</v>
      </c>
      <c r="O291" s="29">
        <v>1</v>
      </c>
      <c r="P291" s="79">
        <f>207415.13</f>
        <v>207415.13</v>
      </c>
    </row>
    <row r="292" spans="1:16" ht="94.5">
      <c r="A292" s="11">
        <v>168</v>
      </c>
      <c r="B292" s="11"/>
      <c r="C292" s="34" t="s">
        <v>638</v>
      </c>
      <c r="D292" s="15" t="s">
        <v>637</v>
      </c>
      <c r="E292" s="29">
        <v>35.7</v>
      </c>
      <c r="F292" s="29"/>
      <c r="G292" s="30" t="s">
        <v>1635</v>
      </c>
      <c r="H292" s="29"/>
      <c r="I292" s="29"/>
      <c r="J292" s="30" t="s">
        <v>1325</v>
      </c>
      <c r="K292" s="15" t="s">
        <v>702</v>
      </c>
      <c r="L292" s="31">
        <v>41120</v>
      </c>
      <c r="M292" s="29" t="s">
        <v>1934</v>
      </c>
      <c r="N292" s="14" t="s">
        <v>472</v>
      </c>
      <c r="O292" s="29">
        <v>1</v>
      </c>
      <c r="P292" s="79">
        <f>201685.43</f>
        <v>201685.43</v>
      </c>
    </row>
    <row r="293" spans="1:16" ht="94.5">
      <c r="A293" s="11">
        <v>169</v>
      </c>
      <c r="B293" s="11"/>
      <c r="C293" s="34" t="s">
        <v>636</v>
      </c>
      <c r="D293" s="15" t="s">
        <v>635</v>
      </c>
      <c r="E293" s="29">
        <v>43.5</v>
      </c>
      <c r="F293" s="29"/>
      <c r="G293" s="30" t="s">
        <v>1636</v>
      </c>
      <c r="H293" s="29"/>
      <c r="I293" s="29"/>
      <c r="J293" s="30" t="s">
        <v>1325</v>
      </c>
      <c r="K293" s="15" t="s">
        <v>703</v>
      </c>
      <c r="L293" s="31">
        <v>41213</v>
      </c>
      <c r="M293" s="29" t="s">
        <v>1934</v>
      </c>
      <c r="N293" s="14" t="s">
        <v>472</v>
      </c>
      <c r="O293" s="29">
        <v>1</v>
      </c>
      <c r="P293" s="79">
        <f>204550.28</f>
        <v>204550.28</v>
      </c>
    </row>
    <row r="294" spans="1:16" ht="82.5" customHeight="1">
      <c r="A294" s="11">
        <v>170</v>
      </c>
      <c r="B294" s="11"/>
      <c r="C294" s="34" t="s">
        <v>634</v>
      </c>
      <c r="D294" s="15" t="s">
        <v>633</v>
      </c>
      <c r="E294" s="29">
        <v>73.4</v>
      </c>
      <c r="F294" s="29"/>
      <c r="G294" s="30" t="s">
        <v>1637</v>
      </c>
      <c r="H294" s="29"/>
      <c r="I294" s="29"/>
      <c r="J294" s="30" t="s">
        <v>1325</v>
      </c>
      <c r="K294" s="15" t="s">
        <v>704</v>
      </c>
      <c r="L294" s="31">
        <v>42346</v>
      </c>
      <c r="M294" s="29" t="s">
        <v>1934</v>
      </c>
      <c r="N294" s="14" t="s">
        <v>472</v>
      </c>
      <c r="O294" s="29">
        <v>1</v>
      </c>
      <c r="P294" s="79">
        <f>426862.62</f>
        <v>426862.62</v>
      </c>
    </row>
    <row r="295" spans="1:16" ht="85.5" customHeight="1">
      <c r="A295" s="7">
        <v>171</v>
      </c>
      <c r="B295" s="11"/>
      <c r="C295" s="34" t="s">
        <v>632</v>
      </c>
      <c r="D295" s="15" t="s">
        <v>631</v>
      </c>
      <c r="E295" s="29">
        <v>71.8</v>
      </c>
      <c r="F295" s="29"/>
      <c r="G295" s="30" t="s">
        <v>1638</v>
      </c>
      <c r="H295" s="29"/>
      <c r="I295" s="29"/>
      <c r="J295" s="30" t="s">
        <v>1325</v>
      </c>
      <c r="K295" s="15" t="s">
        <v>705</v>
      </c>
      <c r="L295" s="31">
        <v>41213</v>
      </c>
      <c r="M295" s="29" t="s">
        <v>1934</v>
      </c>
      <c r="N295" s="14" t="s">
        <v>472</v>
      </c>
      <c r="O295" s="29">
        <v>1</v>
      </c>
      <c r="P295" s="79">
        <f>413684.31</f>
        <v>413684.31</v>
      </c>
    </row>
    <row r="296" spans="1:16" ht="83.25" customHeight="1">
      <c r="A296" s="11">
        <v>172</v>
      </c>
      <c r="B296" s="11"/>
      <c r="C296" s="34" t="s">
        <v>630</v>
      </c>
      <c r="D296" s="15" t="s">
        <v>629</v>
      </c>
      <c r="E296" s="29">
        <v>52.3</v>
      </c>
      <c r="F296" s="29"/>
      <c r="G296" s="30" t="s">
        <v>1639</v>
      </c>
      <c r="H296" s="29"/>
      <c r="I296" s="29"/>
      <c r="J296" s="30" t="s">
        <v>1325</v>
      </c>
      <c r="K296" s="15" t="s">
        <v>706</v>
      </c>
      <c r="L296" s="31">
        <v>41096</v>
      </c>
      <c r="M296" s="29" t="s">
        <v>1934</v>
      </c>
      <c r="N296" s="14" t="s">
        <v>472</v>
      </c>
      <c r="O296" s="29">
        <v>1</v>
      </c>
      <c r="P296" s="79">
        <f>299090.32</f>
        <v>299090.32</v>
      </c>
    </row>
    <row r="297" spans="1:16" ht="94.5">
      <c r="A297" s="11">
        <v>173</v>
      </c>
      <c r="B297" s="11"/>
      <c r="C297" s="34" t="s">
        <v>628</v>
      </c>
      <c r="D297" s="15" t="s">
        <v>627</v>
      </c>
      <c r="E297" s="29">
        <v>62.2</v>
      </c>
      <c r="F297" s="29"/>
      <c r="G297" s="30" t="s">
        <v>1640</v>
      </c>
      <c r="H297" s="29"/>
      <c r="I297" s="29"/>
      <c r="J297" s="30" t="s">
        <v>1325</v>
      </c>
      <c r="K297" s="15" t="s">
        <v>707</v>
      </c>
      <c r="L297" s="31">
        <v>41207</v>
      </c>
      <c r="M297" s="29" t="s">
        <v>1934</v>
      </c>
      <c r="N297" s="14" t="s">
        <v>472</v>
      </c>
      <c r="O297" s="29">
        <v>1</v>
      </c>
      <c r="P297" s="79">
        <f>42437.91</f>
        <v>42437.91</v>
      </c>
    </row>
    <row r="298" spans="1:16" ht="94.5">
      <c r="A298" s="11">
        <v>174</v>
      </c>
      <c r="B298" s="11"/>
      <c r="C298" s="34" t="s">
        <v>626</v>
      </c>
      <c r="D298" s="15" t="s">
        <v>625</v>
      </c>
      <c r="E298" s="29">
        <v>56.1</v>
      </c>
      <c r="F298" s="29"/>
      <c r="G298" s="30" t="s">
        <v>1641</v>
      </c>
      <c r="H298" s="29"/>
      <c r="I298" s="29"/>
      <c r="J298" s="30" t="s">
        <v>1325</v>
      </c>
      <c r="K298" s="15" t="s">
        <v>708</v>
      </c>
      <c r="L298" s="31">
        <v>41207</v>
      </c>
      <c r="M298" s="29" t="s">
        <v>1934</v>
      </c>
      <c r="N298" s="14" t="s">
        <v>472</v>
      </c>
      <c r="O298" s="29">
        <v>1</v>
      </c>
      <c r="P298" s="79">
        <f>44359.63</f>
        <v>44359.63</v>
      </c>
    </row>
    <row r="299" spans="1:16" ht="94.5">
      <c r="A299" s="11">
        <v>175</v>
      </c>
      <c r="B299" s="11"/>
      <c r="C299" s="34" t="s">
        <v>624</v>
      </c>
      <c r="D299" s="15" t="s">
        <v>623</v>
      </c>
      <c r="E299" s="29">
        <v>53.5</v>
      </c>
      <c r="F299" s="29"/>
      <c r="G299" s="30" t="s">
        <v>1891</v>
      </c>
      <c r="H299" s="29"/>
      <c r="I299" s="29"/>
      <c r="J299" s="30" t="s">
        <v>1325</v>
      </c>
      <c r="K299" s="15" t="s">
        <v>709</v>
      </c>
      <c r="L299" s="31">
        <v>41207</v>
      </c>
      <c r="M299" s="29" t="s">
        <v>1934</v>
      </c>
      <c r="N299" s="14" t="s">
        <v>472</v>
      </c>
      <c r="O299" s="29">
        <v>1</v>
      </c>
      <c r="P299" s="79">
        <f>118374.68</f>
        <v>118374.68</v>
      </c>
    </row>
    <row r="300" spans="1:16" ht="47.25">
      <c r="A300" s="7">
        <v>176</v>
      </c>
      <c r="B300" s="11"/>
      <c r="C300" s="36" t="s">
        <v>2264</v>
      </c>
      <c r="D300" s="25" t="s">
        <v>2265</v>
      </c>
      <c r="E300" s="29">
        <v>51.9</v>
      </c>
      <c r="F300" s="29"/>
      <c r="G300" s="30" t="s">
        <v>2266</v>
      </c>
      <c r="H300" s="29"/>
      <c r="I300" s="29"/>
      <c r="J300" s="30" t="s">
        <v>1325</v>
      </c>
      <c r="K300" s="30" t="s">
        <v>2342</v>
      </c>
      <c r="L300" s="31">
        <v>43908</v>
      </c>
      <c r="M300" s="29" t="s">
        <v>1934</v>
      </c>
      <c r="N300" s="27" t="s">
        <v>2267</v>
      </c>
      <c r="O300" s="29">
        <v>1</v>
      </c>
      <c r="P300" s="79">
        <v>765000</v>
      </c>
    </row>
    <row r="301" spans="1:16" ht="94.5">
      <c r="A301" s="11">
        <v>177</v>
      </c>
      <c r="B301" s="11"/>
      <c r="C301" s="36" t="s">
        <v>622</v>
      </c>
      <c r="D301" s="25" t="s">
        <v>621</v>
      </c>
      <c r="E301" s="29">
        <v>62.7</v>
      </c>
      <c r="F301" s="29"/>
      <c r="G301" s="30" t="s">
        <v>1642</v>
      </c>
      <c r="H301" s="29"/>
      <c r="I301" s="29"/>
      <c r="J301" s="30" t="s">
        <v>1325</v>
      </c>
      <c r="K301" s="25" t="s">
        <v>710</v>
      </c>
      <c r="L301" s="31">
        <v>41207</v>
      </c>
      <c r="M301" s="29" t="s">
        <v>1934</v>
      </c>
      <c r="N301" s="27" t="s">
        <v>472</v>
      </c>
      <c r="O301" s="29">
        <v>1</v>
      </c>
      <c r="P301" s="89">
        <f>113876.49</f>
        <v>113876.49</v>
      </c>
    </row>
    <row r="302" spans="1:16" ht="94.5">
      <c r="A302" s="11">
        <v>178</v>
      </c>
      <c r="B302" s="11"/>
      <c r="C302" s="34" t="s">
        <v>620</v>
      </c>
      <c r="D302" s="15" t="s">
        <v>619</v>
      </c>
      <c r="E302" s="29">
        <v>53.4</v>
      </c>
      <c r="F302" s="29"/>
      <c r="G302" s="30" t="s">
        <v>1643</v>
      </c>
      <c r="H302" s="29"/>
      <c r="I302" s="29"/>
      <c r="J302" s="30" t="s">
        <v>1325</v>
      </c>
      <c r="K302" s="15" t="s">
        <v>711</v>
      </c>
      <c r="L302" s="31">
        <v>41207</v>
      </c>
      <c r="M302" s="29" t="s">
        <v>1934</v>
      </c>
      <c r="N302" s="14" t="s">
        <v>472</v>
      </c>
      <c r="O302" s="29">
        <v>1</v>
      </c>
      <c r="P302" s="79">
        <f>113876.49</f>
        <v>113876.49</v>
      </c>
    </row>
    <row r="303" spans="1:16" ht="47.25">
      <c r="A303" s="11">
        <v>179</v>
      </c>
      <c r="B303" s="11"/>
      <c r="C303" s="36" t="s">
        <v>2220</v>
      </c>
      <c r="D303" s="25" t="s">
        <v>2221</v>
      </c>
      <c r="E303" s="29">
        <v>80.1</v>
      </c>
      <c r="F303" s="29"/>
      <c r="G303" s="30" t="s">
        <v>2222</v>
      </c>
      <c r="H303" s="29"/>
      <c r="I303" s="29"/>
      <c r="J303" s="30" t="s">
        <v>1325</v>
      </c>
      <c r="K303" s="30" t="s">
        <v>2345</v>
      </c>
      <c r="L303" s="31">
        <v>43843</v>
      </c>
      <c r="M303" s="29" t="s">
        <v>1934</v>
      </c>
      <c r="N303" s="27" t="s">
        <v>2223</v>
      </c>
      <c r="O303" s="29">
        <v>1</v>
      </c>
      <c r="P303" s="79">
        <v>4654080</v>
      </c>
    </row>
    <row r="304" spans="1:16" ht="47.25">
      <c r="A304" s="11">
        <v>180</v>
      </c>
      <c r="B304" s="11"/>
      <c r="C304" s="36" t="s">
        <v>2224</v>
      </c>
      <c r="D304" s="25" t="s">
        <v>2225</v>
      </c>
      <c r="E304" s="29">
        <v>60.1</v>
      </c>
      <c r="F304" s="29"/>
      <c r="G304" s="30" t="s">
        <v>2226</v>
      </c>
      <c r="H304" s="29"/>
      <c r="I304" s="29"/>
      <c r="J304" s="30" t="s">
        <v>1325</v>
      </c>
      <c r="K304" s="30" t="s">
        <v>2343</v>
      </c>
      <c r="L304" s="31">
        <v>43845</v>
      </c>
      <c r="M304" s="29" t="s">
        <v>1934</v>
      </c>
      <c r="N304" s="27" t="s">
        <v>2223</v>
      </c>
      <c r="O304" s="29">
        <v>1</v>
      </c>
      <c r="P304" s="79">
        <v>3490560</v>
      </c>
    </row>
    <row r="305" spans="1:16" ht="47.25">
      <c r="A305" s="11">
        <v>181</v>
      </c>
      <c r="B305" s="11"/>
      <c r="C305" s="36" t="s">
        <v>2227</v>
      </c>
      <c r="D305" s="25" t="s">
        <v>2228</v>
      </c>
      <c r="E305" s="29">
        <v>43.7</v>
      </c>
      <c r="F305" s="29"/>
      <c r="G305" s="30" t="s">
        <v>2229</v>
      </c>
      <c r="H305" s="29"/>
      <c r="I305" s="29"/>
      <c r="J305" s="30" t="s">
        <v>1325</v>
      </c>
      <c r="K305" s="30" t="s">
        <v>2344</v>
      </c>
      <c r="L305" s="31">
        <v>43845</v>
      </c>
      <c r="M305" s="29" t="s">
        <v>1934</v>
      </c>
      <c r="N305" s="27" t="s">
        <v>2223</v>
      </c>
      <c r="O305" s="29">
        <v>1</v>
      </c>
      <c r="P305" s="79">
        <v>2501568</v>
      </c>
    </row>
    <row r="306" spans="1:16" ht="88.5" customHeight="1">
      <c r="A306" s="11">
        <v>182</v>
      </c>
      <c r="B306" s="11"/>
      <c r="C306" s="34" t="s">
        <v>618</v>
      </c>
      <c r="D306" s="15" t="s">
        <v>617</v>
      </c>
      <c r="E306" s="29">
        <v>50.2</v>
      </c>
      <c r="F306" s="29"/>
      <c r="G306" s="30" t="s">
        <v>1647</v>
      </c>
      <c r="H306" s="29"/>
      <c r="I306" s="29"/>
      <c r="J306" s="30" t="s">
        <v>1325</v>
      </c>
      <c r="K306" s="15" t="s">
        <v>712</v>
      </c>
      <c r="L306" s="31">
        <v>41234</v>
      </c>
      <c r="M306" s="29" t="s">
        <v>1934</v>
      </c>
      <c r="N306" s="14" t="s">
        <v>472</v>
      </c>
      <c r="O306" s="29">
        <v>1</v>
      </c>
      <c r="P306" s="79">
        <f>98879.47</f>
        <v>98879.47</v>
      </c>
    </row>
    <row r="307" spans="1:16" ht="37.5" customHeight="1">
      <c r="A307" s="11">
        <v>183</v>
      </c>
      <c r="B307" s="11"/>
      <c r="C307" s="34" t="s">
        <v>616</v>
      </c>
      <c r="D307" s="15" t="s">
        <v>615</v>
      </c>
      <c r="E307" s="29">
        <v>52.4</v>
      </c>
      <c r="F307" s="29"/>
      <c r="G307" s="30" t="s">
        <v>1648</v>
      </c>
      <c r="H307" s="29"/>
      <c r="I307" s="29"/>
      <c r="J307" s="30" t="s">
        <v>1325</v>
      </c>
      <c r="K307" s="25" t="s">
        <v>1649</v>
      </c>
      <c r="L307" s="31">
        <v>42044</v>
      </c>
      <c r="M307" s="29" t="s">
        <v>1934</v>
      </c>
      <c r="N307" s="27" t="s">
        <v>1650</v>
      </c>
      <c r="O307" s="29">
        <v>1</v>
      </c>
      <c r="P307" s="79">
        <f>729000</f>
        <v>729000</v>
      </c>
    </row>
    <row r="308" spans="1:16" ht="47.25">
      <c r="A308" s="11">
        <v>184</v>
      </c>
      <c r="B308" s="11"/>
      <c r="C308" s="36" t="s">
        <v>1947</v>
      </c>
      <c r="D308" s="25" t="s">
        <v>1948</v>
      </c>
      <c r="E308" s="29">
        <v>14</v>
      </c>
      <c r="F308" s="29"/>
      <c r="G308" s="30" t="s">
        <v>1949</v>
      </c>
      <c r="H308" s="29"/>
      <c r="I308" s="29"/>
      <c r="J308" s="30" t="s">
        <v>1328</v>
      </c>
      <c r="K308" s="30" t="s">
        <v>1950</v>
      </c>
      <c r="L308" s="31">
        <v>43494</v>
      </c>
      <c r="M308" s="29" t="s">
        <v>1934</v>
      </c>
      <c r="N308" s="27" t="s">
        <v>1951</v>
      </c>
      <c r="O308" s="29">
        <v>1</v>
      </c>
      <c r="P308" s="79">
        <v>331000</v>
      </c>
    </row>
    <row r="309" spans="1:16" ht="47.25">
      <c r="A309" s="11">
        <v>185</v>
      </c>
      <c r="B309" s="11"/>
      <c r="C309" s="36" t="s">
        <v>1952</v>
      </c>
      <c r="D309" s="25" t="s">
        <v>1953</v>
      </c>
      <c r="E309" s="29">
        <v>18.8</v>
      </c>
      <c r="F309" s="29"/>
      <c r="G309" s="30" t="s">
        <v>1954</v>
      </c>
      <c r="H309" s="29"/>
      <c r="I309" s="29"/>
      <c r="J309" s="30" t="s">
        <v>1328</v>
      </c>
      <c r="K309" s="30" t="s">
        <v>1955</v>
      </c>
      <c r="L309" s="31">
        <v>43494</v>
      </c>
      <c r="M309" s="29" t="s">
        <v>1934</v>
      </c>
      <c r="N309" s="27" t="s">
        <v>1951</v>
      </c>
      <c r="O309" s="29">
        <v>1</v>
      </c>
      <c r="P309" s="79">
        <v>422000</v>
      </c>
    </row>
    <row r="310" spans="1:16" ht="47.25">
      <c r="A310" s="11">
        <v>186</v>
      </c>
      <c r="B310" s="11"/>
      <c r="C310" s="34" t="s">
        <v>746</v>
      </c>
      <c r="D310" s="15" t="s">
        <v>745</v>
      </c>
      <c r="E310" s="29">
        <v>19.7</v>
      </c>
      <c r="F310" s="29"/>
      <c r="G310" s="30" t="s">
        <v>1801</v>
      </c>
      <c r="H310" s="29"/>
      <c r="I310" s="29"/>
      <c r="J310" s="30" t="s">
        <v>1328</v>
      </c>
      <c r="K310" s="25" t="s">
        <v>2349</v>
      </c>
      <c r="L310" s="31">
        <v>42045</v>
      </c>
      <c r="M310" s="29" t="s">
        <v>1934</v>
      </c>
      <c r="N310" s="14" t="s">
        <v>747</v>
      </c>
      <c r="O310" s="29">
        <v>1</v>
      </c>
      <c r="P310" s="79">
        <f>438000</f>
        <v>438000</v>
      </c>
    </row>
    <row r="311" spans="1:16" ht="47.25">
      <c r="A311" s="11">
        <v>187</v>
      </c>
      <c r="B311" s="11"/>
      <c r="C311" s="34" t="s">
        <v>744</v>
      </c>
      <c r="D311" s="15" t="s">
        <v>743</v>
      </c>
      <c r="E311" s="29">
        <v>39.3</v>
      </c>
      <c r="F311" s="29"/>
      <c r="G311" s="30" t="s">
        <v>1802</v>
      </c>
      <c r="H311" s="29"/>
      <c r="I311" s="29"/>
      <c r="J311" s="30" t="s">
        <v>1328</v>
      </c>
      <c r="K311" s="25" t="s">
        <v>2346</v>
      </c>
      <c r="L311" s="31">
        <v>42045</v>
      </c>
      <c r="M311" s="29" t="s">
        <v>1934</v>
      </c>
      <c r="N311" s="14" t="s">
        <v>747</v>
      </c>
      <c r="O311" s="29">
        <v>1</v>
      </c>
      <c r="P311" s="79">
        <f>684000</f>
        <v>684000</v>
      </c>
    </row>
    <row r="312" spans="1:16" ht="47.25">
      <c r="A312" s="11">
        <v>188</v>
      </c>
      <c r="B312" s="11"/>
      <c r="C312" s="34" t="s">
        <v>742</v>
      </c>
      <c r="D312" s="15" t="s">
        <v>741</v>
      </c>
      <c r="E312" s="29">
        <v>38.8</v>
      </c>
      <c r="F312" s="29"/>
      <c r="G312" s="30" t="s">
        <v>1803</v>
      </c>
      <c r="H312" s="29"/>
      <c r="I312" s="29"/>
      <c r="J312" s="30" t="s">
        <v>1328</v>
      </c>
      <c r="K312" s="25" t="s">
        <v>2347</v>
      </c>
      <c r="L312" s="31">
        <v>42045</v>
      </c>
      <c r="M312" s="29" t="s">
        <v>1934</v>
      </c>
      <c r="N312" s="14" t="s">
        <v>747</v>
      </c>
      <c r="O312" s="29">
        <v>1</v>
      </c>
      <c r="P312" s="79">
        <f>675000</f>
        <v>675000</v>
      </c>
    </row>
    <row r="313" spans="1:16" ht="47.25">
      <c r="A313" s="11">
        <v>189</v>
      </c>
      <c r="B313" s="11"/>
      <c r="C313" s="34" t="s">
        <v>740</v>
      </c>
      <c r="D313" s="15" t="s">
        <v>739</v>
      </c>
      <c r="E313" s="29">
        <v>50</v>
      </c>
      <c r="F313" s="29"/>
      <c r="G313" s="30" t="s">
        <v>1804</v>
      </c>
      <c r="H313" s="29"/>
      <c r="I313" s="29"/>
      <c r="J313" s="30" t="s">
        <v>1328</v>
      </c>
      <c r="K313" s="25" t="s">
        <v>2348</v>
      </c>
      <c r="L313" s="31">
        <v>42045</v>
      </c>
      <c r="M313" s="29" t="s">
        <v>1934</v>
      </c>
      <c r="N313" s="14" t="s">
        <v>747</v>
      </c>
      <c r="O313" s="29">
        <v>1</v>
      </c>
      <c r="P313" s="79">
        <f>1000000</f>
        <v>1000000</v>
      </c>
    </row>
    <row r="314" spans="1:16" ht="36.75" customHeight="1">
      <c r="A314" s="11">
        <v>190</v>
      </c>
      <c r="B314" s="11"/>
      <c r="C314" s="34" t="s">
        <v>738</v>
      </c>
      <c r="D314" s="15" t="s">
        <v>737</v>
      </c>
      <c r="E314" s="29">
        <v>51.9</v>
      </c>
      <c r="F314" s="29"/>
      <c r="G314" s="30" t="s">
        <v>1805</v>
      </c>
      <c r="H314" s="29"/>
      <c r="I314" s="29"/>
      <c r="J314" s="30" t="s">
        <v>1328</v>
      </c>
      <c r="K314" s="15" t="s">
        <v>748</v>
      </c>
      <c r="L314" s="31">
        <v>41211</v>
      </c>
      <c r="M314" s="29" t="s">
        <v>1934</v>
      </c>
      <c r="N314" s="27" t="s">
        <v>1806</v>
      </c>
      <c r="O314" s="29">
        <v>1</v>
      </c>
      <c r="P314" s="79">
        <f>1369500</f>
        <v>1369500</v>
      </c>
    </row>
    <row r="315" spans="1:16" ht="47.25">
      <c r="A315" s="39">
        <v>191</v>
      </c>
      <c r="B315" s="11"/>
      <c r="C315" s="34" t="s">
        <v>736</v>
      </c>
      <c r="D315" s="15" t="s">
        <v>735</v>
      </c>
      <c r="E315" s="29">
        <v>49.5</v>
      </c>
      <c r="F315" s="29"/>
      <c r="G315" s="30" t="s">
        <v>1807</v>
      </c>
      <c r="H315" s="29"/>
      <c r="I315" s="29"/>
      <c r="J315" s="30" t="s">
        <v>1328</v>
      </c>
      <c r="K315" s="15" t="s">
        <v>749</v>
      </c>
      <c r="L315" s="31">
        <v>41211</v>
      </c>
      <c r="M315" s="29" t="s">
        <v>1934</v>
      </c>
      <c r="N315" s="27" t="s">
        <v>1806</v>
      </c>
      <c r="O315" s="29">
        <v>1</v>
      </c>
      <c r="P315" s="79">
        <f>1103300</f>
        <v>1103300</v>
      </c>
    </row>
    <row r="316" spans="1:16" ht="38.25" customHeight="1">
      <c r="A316" s="11">
        <v>192</v>
      </c>
      <c r="B316" s="11"/>
      <c r="C316" s="34" t="s">
        <v>734</v>
      </c>
      <c r="D316" s="15" t="s">
        <v>733</v>
      </c>
      <c r="E316" s="29">
        <v>52.9</v>
      </c>
      <c r="F316" s="29"/>
      <c r="G316" s="30" t="s">
        <v>1808</v>
      </c>
      <c r="H316" s="29"/>
      <c r="I316" s="29"/>
      <c r="J316" s="30" t="s">
        <v>1328</v>
      </c>
      <c r="K316" s="15" t="s">
        <v>750</v>
      </c>
      <c r="L316" s="31">
        <v>41211</v>
      </c>
      <c r="M316" s="29" t="s">
        <v>1934</v>
      </c>
      <c r="N316" s="27" t="s">
        <v>1806</v>
      </c>
      <c r="O316" s="29">
        <v>1</v>
      </c>
      <c r="P316" s="79">
        <f>1369500</f>
        <v>1369500</v>
      </c>
    </row>
    <row r="317" spans="1:16" ht="141.75">
      <c r="A317" s="11">
        <v>193</v>
      </c>
      <c r="B317" s="11"/>
      <c r="C317" s="34" t="s">
        <v>732</v>
      </c>
      <c r="D317" s="15" t="s">
        <v>731</v>
      </c>
      <c r="E317" s="29">
        <v>77.4</v>
      </c>
      <c r="F317" s="29"/>
      <c r="G317" s="29" t="s">
        <v>1869</v>
      </c>
      <c r="H317" s="29"/>
      <c r="I317" s="29"/>
      <c r="J317" s="30" t="s">
        <v>1328</v>
      </c>
      <c r="K317" s="25" t="s">
        <v>2350</v>
      </c>
      <c r="L317" s="31">
        <v>42625</v>
      </c>
      <c r="M317" s="29" t="s">
        <v>1934</v>
      </c>
      <c r="N317" s="27" t="s">
        <v>1870</v>
      </c>
      <c r="O317" s="29">
        <v>1</v>
      </c>
      <c r="P317" s="79">
        <f>891000</f>
        <v>891000</v>
      </c>
    </row>
    <row r="318" spans="1:16" ht="141.75">
      <c r="A318" s="11">
        <v>194</v>
      </c>
      <c r="B318" s="11"/>
      <c r="C318" s="34" t="s">
        <v>730</v>
      </c>
      <c r="D318" s="15" t="s">
        <v>729</v>
      </c>
      <c r="E318" s="29">
        <v>66.9</v>
      </c>
      <c r="F318" s="29"/>
      <c r="G318" s="29" t="s">
        <v>1871</v>
      </c>
      <c r="H318" s="29"/>
      <c r="I318" s="29"/>
      <c r="J318" s="30" t="s">
        <v>1328</v>
      </c>
      <c r="K318" s="25" t="s">
        <v>2351</v>
      </c>
      <c r="L318" s="31">
        <v>42625</v>
      </c>
      <c r="M318" s="29" t="s">
        <v>1934</v>
      </c>
      <c r="N318" s="27" t="s">
        <v>1870</v>
      </c>
      <c r="O318" s="29">
        <v>1</v>
      </c>
      <c r="P318" s="79">
        <f>792000</f>
        <v>792000</v>
      </c>
    </row>
    <row r="319" spans="1:16" ht="47.25">
      <c r="A319" s="11">
        <v>195</v>
      </c>
      <c r="B319" s="11"/>
      <c r="C319" s="34" t="s">
        <v>728</v>
      </c>
      <c r="D319" s="15" t="s">
        <v>727</v>
      </c>
      <c r="E319" s="29">
        <v>36.8</v>
      </c>
      <c r="F319" s="29"/>
      <c r="G319" s="29" t="s">
        <v>1809</v>
      </c>
      <c r="H319" s="29"/>
      <c r="I319" s="29"/>
      <c r="J319" s="30" t="s">
        <v>1328</v>
      </c>
      <c r="K319" s="15" t="s">
        <v>751</v>
      </c>
      <c r="L319" s="31">
        <v>42045</v>
      </c>
      <c r="M319" s="29" t="s">
        <v>1934</v>
      </c>
      <c r="N319" s="27" t="s">
        <v>1811</v>
      </c>
      <c r="O319" s="29">
        <v>1</v>
      </c>
      <c r="P319" s="79">
        <f>1412000</f>
        <v>1412000</v>
      </c>
    </row>
    <row r="320" spans="1:16" ht="47.25">
      <c r="A320" s="11">
        <v>196</v>
      </c>
      <c r="B320" s="11"/>
      <c r="C320" s="34" t="s">
        <v>726</v>
      </c>
      <c r="D320" s="15" t="s">
        <v>725</v>
      </c>
      <c r="E320" s="29">
        <v>38</v>
      </c>
      <c r="F320" s="29"/>
      <c r="G320" s="30" t="s">
        <v>1810</v>
      </c>
      <c r="H320" s="29"/>
      <c r="I320" s="29"/>
      <c r="J320" s="30" t="s">
        <v>1328</v>
      </c>
      <c r="K320" s="15" t="s">
        <v>752</v>
      </c>
      <c r="L320" s="31">
        <v>42122</v>
      </c>
      <c r="M320" s="29" t="s">
        <v>1934</v>
      </c>
      <c r="N320" s="27" t="s">
        <v>1811</v>
      </c>
      <c r="O320" s="29">
        <v>1</v>
      </c>
      <c r="P320" s="79">
        <f>1957456</f>
        <v>1957456</v>
      </c>
    </row>
    <row r="321" spans="1:16" ht="47.25">
      <c r="A321" s="11">
        <v>197</v>
      </c>
      <c r="B321" s="11"/>
      <c r="C321" s="34" t="s">
        <v>724</v>
      </c>
      <c r="D321" s="15" t="s">
        <v>723</v>
      </c>
      <c r="E321" s="29">
        <v>37</v>
      </c>
      <c r="F321" s="29"/>
      <c r="G321" s="30" t="s">
        <v>1812</v>
      </c>
      <c r="H321" s="29"/>
      <c r="I321" s="29"/>
      <c r="J321" s="30" t="s">
        <v>1328</v>
      </c>
      <c r="K321" s="15" t="s">
        <v>753</v>
      </c>
      <c r="L321" s="31">
        <v>42122</v>
      </c>
      <c r="M321" s="29" t="s">
        <v>1934</v>
      </c>
      <c r="N321" s="27" t="s">
        <v>1811</v>
      </c>
      <c r="O321" s="29">
        <v>1</v>
      </c>
      <c r="P321" s="79">
        <f>1905944</f>
        <v>1905944</v>
      </c>
    </row>
    <row r="322" spans="1:16" ht="47.25">
      <c r="A322" s="11">
        <v>198</v>
      </c>
      <c r="B322" s="11"/>
      <c r="C322" s="34" t="s">
        <v>722</v>
      </c>
      <c r="D322" s="15" t="s">
        <v>721</v>
      </c>
      <c r="E322" s="29">
        <v>37</v>
      </c>
      <c r="F322" s="29"/>
      <c r="G322" s="30" t="s">
        <v>1813</v>
      </c>
      <c r="H322" s="29"/>
      <c r="I322" s="29"/>
      <c r="J322" s="30" t="s">
        <v>1328</v>
      </c>
      <c r="K322" s="15" t="s">
        <v>754</v>
      </c>
      <c r="L322" s="31">
        <v>42122</v>
      </c>
      <c r="M322" s="29" t="s">
        <v>1934</v>
      </c>
      <c r="N322" s="27" t="s">
        <v>1811</v>
      </c>
      <c r="O322" s="29">
        <v>1</v>
      </c>
      <c r="P322" s="79">
        <f>1905944</f>
        <v>1905944</v>
      </c>
    </row>
    <row r="323" spans="1:16" ht="47.25">
      <c r="A323" s="11">
        <v>199</v>
      </c>
      <c r="B323" s="11"/>
      <c r="C323" s="34" t="s">
        <v>720</v>
      </c>
      <c r="D323" s="15" t="s">
        <v>719</v>
      </c>
      <c r="E323" s="29">
        <v>52.2</v>
      </c>
      <c r="F323" s="29"/>
      <c r="G323" s="30" t="s">
        <v>1814</v>
      </c>
      <c r="H323" s="29"/>
      <c r="I323" s="29"/>
      <c r="J323" s="30" t="s">
        <v>1328</v>
      </c>
      <c r="K323" s="15" t="s">
        <v>755</v>
      </c>
      <c r="L323" s="31">
        <v>42122</v>
      </c>
      <c r="M323" s="29" t="s">
        <v>1934</v>
      </c>
      <c r="N323" s="27" t="s">
        <v>1811</v>
      </c>
      <c r="O323" s="29">
        <v>1</v>
      </c>
      <c r="P323" s="79">
        <f>2575600</f>
        <v>2575600</v>
      </c>
    </row>
    <row r="324" spans="1:16" ht="47.25">
      <c r="A324" s="11">
        <v>200</v>
      </c>
      <c r="B324" s="11"/>
      <c r="C324" s="34" t="s">
        <v>718</v>
      </c>
      <c r="D324" s="15" t="s">
        <v>717</v>
      </c>
      <c r="E324" s="29">
        <v>39</v>
      </c>
      <c r="F324" s="29"/>
      <c r="G324" s="30" t="s">
        <v>1815</v>
      </c>
      <c r="H324" s="29"/>
      <c r="I324" s="29"/>
      <c r="J324" s="30" t="s">
        <v>1328</v>
      </c>
      <c r="K324" s="15" t="s">
        <v>756</v>
      </c>
      <c r="L324" s="31">
        <v>42122</v>
      </c>
      <c r="M324" s="29" t="s">
        <v>1934</v>
      </c>
      <c r="N324" s="27" t="s">
        <v>1811</v>
      </c>
      <c r="O324" s="29">
        <v>1</v>
      </c>
      <c r="P324" s="79">
        <f>1957456</f>
        <v>1957456</v>
      </c>
    </row>
    <row r="325" spans="1:16" ht="47.25">
      <c r="A325" s="11">
        <v>201</v>
      </c>
      <c r="B325" s="11"/>
      <c r="C325" s="34" t="s">
        <v>716</v>
      </c>
      <c r="D325" s="15" t="s">
        <v>715</v>
      </c>
      <c r="E325" s="29">
        <v>35</v>
      </c>
      <c r="F325" s="29"/>
      <c r="G325" s="30" t="s">
        <v>1816</v>
      </c>
      <c r="H325" s="29"/>
      <c r="I325" s="29"/>
      <c r="J325" s="30" t="s">
        <v>1328</v>
      </c>
      <c r="K325" s="15" t="s">
        <v>757</v>
      </c>
      <c r="L325" s="31">
        <v>42368</v>
      </c>
      <c r="M325" s="29" t="s">
        <v>1934</v>
      </c>
      <c r="N325" s="14" t="s">
        <v>758</v>
      </c>
      <c r="O325" s="29">
        <v>1</v>
      </c>
      <c r="P325" s="79">
        <f>2763050</f>
        <v>2763050</v>
      </c>
    </row>
    <row r="326" spans="1:16" ht="47.25">
      <c r="A326" s="47">
        <v>202</v>
      </c>
      <c r="B326" s="11"/>
      <c r="C326" s="34" t="s">
        <v>714</v>
      </c>
      <c r="D326" s="15" t="s">
        <v>713</v>
      </c>
      <c r="E326" s="29">
        <v>36</v>
      </c>
      <c r="F326" s="29"/>
      <c r="G326" s="30" t="s">
        <v>1817</v>
      </c>
      <c r="H326" s="29"/>
      <c r="I326" s="29"/>
      <c r="J326" s="30" t="s">
        <v>1328</v>
      </c>
      <c r="K326" s="15" t="s">
        <v>759</v>
      </c>
      <c r="L326" s="31">
        <v>42368</v>
      </c>
      <c r="M326" s="29" t="s">
        <v>1934</v>
      </c>
      <c r="N326" s="14" t="s">
        <v>758</v>
      </c>
      <c r="O326" s="29">
        <v>1</v>
      </c>
      <c r="P326" s="79">
        <f>1989396</f>
        <v>1989396</v>
      </c>
    </row>
    <row r="327" spans="1:16" ht="47.25">
      <c r="A327" s="11">
        <v>203</v>
      </c>
      <c r="B327" s="11"/>
      <c r="C327" s="36" t="s">
        <v>2138</v>
      </c>
      <c r="D327" s="25" t="s">
        <v>2139</v>
      </c>
      <c r="E327" s="29">
        <v>44.9</v>
      </c>
      <c r="F327" s="29"/>
      <c r="G327" s="30" t="s">
        <v>2140</v>
      </c>
      <c r="H327" s="29"/>
      <c r="I327" s="29"/>
      <c r="J327" s="30" t="s">
        <v>1328</v>
      </c>
      <c r="K327" s="15" t="s">
        <v>784</v>
      </c>
      <c r="L327" s="31">
        <v>43640</v>
      </c>
      <c r="M327" s="29" t="s">
        <v>1934</v>
      </c>
      <c r="N327" s="27" t="s">
        <v>2141</v>
      </c>
      <c r="O327" s="29">
        <v>1</v>
      </c>
      <c r="P327" s="79">
        <v>309500</v>
      </c>
    </row>
    <row r="328" spans="1:16" ht="47.25">
      <c r="A328" s="11">
        <v>204</v>
      </c>
      <c r="B328" s="11"/>
      <c r="C328" s="36" t="s">
        <v>2479</v>
      </c>
      <c r="D328" s="25" t="s">
        <v>2480</v>
      </c>
      <c r="E328" s="29">
        <v>40.1</v>
      </c>
      <c r="F328" s="29"/>
      <c r="G328" s="30" t="s">
        <v>2481</v>
      </c>
      <c r="H328" s="29"/>
      <c r="I328" s="29"/>
      <c r="J328" s="30" t="s">
        <v>1328</v>
      </c>
      <c r="K328" s="30" t="s">
        <v>2482</v>
      </c>
      <c r="L328" s="31">
        <v>44265</v>
      </c>
      <c r="M328" s="29" t="s">
        <v>1934</v>
      </c>
      <c r="N328" s="27" t="s">
        <v>2478</v>
      </c>
      <c r="O328" s="29">
        <v>1</v>
      </c>
      <c r="P328" s="79">
        <v>2351480</v>
      </c>
    </row>
    <row r="329" spans="1:16" ht="47.25">
      <c r="A329" s="11">
        <v>205</v>
      </c>
      <c r="B329" s="11"/>
      <c r="C329" s="36" t="s">
        <v>2483</v>
      </c>
      <c r="D329" s="25" t="s">
        <v>2484</v>
      </c>
      <c r="E329" s="29">
        <v>77.3</v>
      </c>
      <c r="F329" s="29"/>
      <c r="G329" s="30" t="s">
        <v>2485</v>
      </c>
      <c r="H329" s="29"/>
      <c r="I329" s="29"/>
      <c r="J329" s="30" t="s">
        <v>1328</v>
      </c>
      <c r="K329" s="30" t="s">
        <v>2486</v>
      </c>
      <c r="L329" s="31">
        <v>44265</v>
      </c>
      <c r="M329" s="29" t="s">
        <v>1934</v>
      </c>
      <c r="N329" s="27" t="s">
        <v>2478</v>
      </c>
      <c r="O329" s="29">
        <v>1</v>
      </c>
      <c r="P329" s="79">
        <v>4526599</v>
      </c>
    </row>
    <row r="330" spans="1:16" ht="47.25">
      <c r="A330" s="11">
        <v>206</v>
      </c>
      <c r="B330" s="11"/>
      <c r="C330" s="36" t="s">
        <v>2487</v>
      </c>
      <c r="D330" s="25" t="s">
        <v>2488</v>
      </c>
      <c r="E330" s="29">
        <v>62.7</v>
      </c>
      <c r="F330" s="29"/>
      <c r="G330" s="30" t="s">
        <v>2489</v>
      </c>
      <c r="H330" s="29"/>
      <c r="I330" s="29"/>
      <c r="J330" s="30" t="s">
        <v>1328</v>
      </c>
      <c r="K330" s="30" t="s">
        <v>2490</v>
      </c>
      <c r="L330" s="31">
        <v>44265</v>
      </c>
      <c r="M330" s="29" t="s">
        <v>1934</v>
      </c>
      <c r="N330" s="27" t="s">
        <v>2478</v>
      </c>
      <c r="O330" s="29">
        <v>1</v>
      </c>
      <c r="P330" s="79">
        <v>3644794</v>
      </c>
    </row>
    <row r="331" spans="1:16" ht="47.25">
      <c r="A331" s="11">
        <v>207</v>
      </c>
      <c r="B331" s="11"/>
      <c r="C331" s="36" t="s">
        <v>2491</v>
      </c>
      <c r="D331" s="25" t="s">
        <v>2492</v>
      </c>
      <c r="E331" s="29">
        <v>41</v>
      </c>
      <c r="F331" s="29"/>
      <c r="G331" s="30" t="s">
        <v>2493</v>
      </c>
      <c r="H331" s="29"/>
      <c r="I331" s="29"/>
      <c r="J331" s="30" t="s">
        <v>1328</v>
      </c>
      <c r="K331" s="30" t="s">
        <v>2494</v>
      </c>
      <c r="L331" s="31">
        <v>44265</v>
      </c>
      <c r="M331" s="29" t="s">
        <v>1934</v>
      </c>
      <c r="N331" s="27" t="s">
        <v>2478</v>
      </c>
      <c r="O331" s="29">
        <v>1</v>
      </c>
      <c r="P331" s="79">
        <v>2410267</v>
      </c>
    </row>
    <row r="332" spans="1:16" ht="47.25">
      <c r="A332" s="11">
        <v>208</v>
      </c>
      <c r="B332" s="11"/>
      <c r="C332" s="36" t="s">
        <v>2495</v>
      </c>
      <c r="D332" s="25" t="s">
        <v>2498</v>
      </c>
      <c r="E332" s="29">
        <v>40</v>
      </c>
      <c r="F332" s="29"/>
      <c r="G332" s="30" t="s">
        <v>2496</v>
      </c>
      <c r="H332" s="29"/>
      <c r="I332" s="29"/>
      <c r="J332" s="30" t="s">
        <v>1328</v>
      </c>
      <c r="K332" s="30" t="s">
        <v>2497</v>
      </c>
      <c r="L332" s="31">
        <v>44266</v>
      </c>
      <c r="M332" s="29" t="s">
        <v>1934</v>
      </c>
      <c r="N332" s="27" t="s">
        <v>2478</v>
      </c>
      <c r="O332" s="29">
        <v>1</v>
      </c>
      <c r="P332" s="79">
        <v>2351480</v>
      </c>
    </row>
    <row r="333" spans="1:16" ht="47.25">
      <c r="A333" s="39">
        <v>209</v>
      </c>
      <c r="B333" s="11"/>
      <c r="C333" s="36" t="s">
        <v>2499</v>
      </c>
      <c r="D333" s="25" t="s">
        <v>2500</v>
      </c>
      <c r="E333" s="29">
        <v>41</v>
      </c>
      <c r="F333" s="29"/>
      <c r="G333" s="30" t="s">
        <v>2501</v>
      </c>
      <c r="H333" s="29"/>
      <c r="I333" s="29"/>
      <c r="J333" s="30" t="s">
        <v>1328</v>
      </c>
      <c r="K333" s="30" t="s">
        <v>2502</v>
      </c>
      <c r="L333" s="31">
        <v>44265</v>
      </c>
      <c r="M333" s="29" t="s">
        <v>1934</v>
      </c>
      <c r="N333" s="27" t="s">
        <v>2478</v>
      </c>
      <c r="O333" s="29">
        <v>1</v>
      </c>
      <c r="P333" s="79">
        <v>2410267</v>
      </c>
    </row>
    <row r="334" spans="1:16" ht="47.25">
      <c r="A334" s="11">
        <v>210</v>
      </c>
      <c r="B334" s="11"/>
      <c r="C334" s="36" t="s">
        <v>2503</v>
      </c>
      <c r="D334" s="25" t="s">
        <v>2504</v>
      </c>
      <c r="E334" s="29">
        <v>78.3</v>
      </c>
      <c r="F334" s="29"/>
      <c r="G334" s="30" t="s">
        <v>2505</v>
      </c>
      <c r="H334" s="29"/>
      <c r="I334" s="29"/>
      <c r="J334" s="30" t="s">
        <v>1328</v>
      </c>
      <c r="K334" s="30" t="s">
        <v>2506</v>
      </c>
      <c r="L334" s="31">
        <v>44265</v>
      </c>
      <c r="M334" s="29" t="s">
        <v>1934</v>
      </c>
      <c r="N334" s="27" t="s">
        <v>2478</v>
      </c>
      <c r="O334" s="29">
        <v>1</v>
      </c>
      <c r="P334" s="79">
        <v>4585386</v>
      </c>
    </row>
    <row r="335" spans="1:16" ht="47.25">
      <c r="A335" s="39">
        <v>211</v>
      </c>
      <c r="B335" s="11"/>
      <c r="C335" s="36" t="s">
        <v>2507</v>
      </c>
      <c r="D335" s="25" t="s">
        <v>2508</v>
      </c>
      <c r="E335" s="29">
        <v>61.4</v>
      </c>
      <c r="F335" s="29"/>
      <c r="G335" s="30" t="s">
        <v>2509</v>
      </c>
      <c r="H335" s="29"/>
      <c r="I335" s="29"/>
      <c r="J335" s="30" t="s">
        <v>1328</v>
      </c>
      <c r="K335" s="30" t="s">
        <v>2510</v>
      </c>
      <c r="L335" s="31">
        <v>44265</v>
      </c>
      <c r="M335" s="29" t="s">
        <v>1934</v>
      </c>
      <c r="N335" s="27" t="s">
        <v>2478</v>
      </c>
      <c r="O335" s="29">
        <v>1</v>
      </c>
      <c r="P335" s="79">
        <v>3586007</v>
      </c>
    </row>
    <row r="336" spans="1:16" ht="47.25">
      <c r="A336" s="11">
        <v>212</v>
      </c>
      <c r="B336" s="11"/>
      <c r="C336" s="36" t="s">
        <v>2511</v>
      </c>
      <c r="D336" s="25" t="s">
        <v>2512</v>
      </c>
      <c r="E336" s="29">
        <v>82.4</v>
      </c>
      <c r="F336" s="29"/>
      <c r="G336" s="30" t="s">
        <v>2513</v>
      </c>
      <c r="H336" s="29"/>
      <c r="I336" s="29"/>
      <c r="J336" s="30" t="s">
        <v>1328</v>
      </c>
      <c r="K336" s="30" t="s">
        <v>2514</v>
      </c>
      <c r="L336" s="31">
        <v>44265</v>
      </c>
      <c r="M336" s="29" t="s">
        <v>1934</v>
      </c>
      <c r="N336" s="27" t="s">
        <v>2478</v>
      </c>
      <c r="O336" s="29">
        <v>1</v>
      </c>
      <c r="P336" s="79">
        <v>4820534</v>
      </c>
    </row>
    <row r="337" spans="1:16" ht="47.25">
      <c r="A337" s="7">
        <v>213</v>
      </c>
      <c r="B337" s="11"/>
      <c r="C337" s="36" t="s">
        <v>2515</v>
      </c>
      <c r="D337" s="25" t="s">
        <v>2516</v>
      </c>
      <c r="E337" s="29">
        <v>83.4</v>
      </c>
      <c r="F337" s="29"/>
      <c r="G337" s="30" t="s">
        <v>2517</v>
      </c>
      <c r="H337" s="29"/>
      <c r="I337" s="29"/>
      <c r="J337" s="30" t="s">
        <v>1328</v>
      </c>
      <c r="K337" s="30" t="s">
        <v>2518</v>
      </c>
      <c r="L337" s="31">
        <v>44266</v>
      </c>
      <c r="M337" s="29" t="s">
        <v>1934</v>
      </c>
      <c r="N337" s="27" t="s">
        <v>2478</v>
      </c>
      <c r="O337" s="29">
        <v>1</v>
      </c>
      <c r="P337" s="79">
        <v>4879321</v>
      </c>
    </row>
    <row r="338" spans="1:16" ht="94.5">
      <c r="A338" s="39">
        <v>214</v>
      </c>
      <c r="B338" s="11"/>
      <c r="C338" s="34" t="s">
        <v>783</v>
      </c>
      <c r="D338" s="15" t="s">
        <v>782</v>
      </c>
      <c r="E338" s="29">
        <v>31.3</v>
      </c>
      <c r="F338" s="29"/>
      <c r="G338" s="30" t="s">
        <v>1818</v>
      </c>
      <c r="H338" s="29"/>
      <c r="I338" s="29"/>
      <c r="J338" s="30" t="s">
        <v>1328</v>
      </c>
      <c r="K338" s="15" t="s">
        <v>784</v>
      </c>
      <c r="L338" s="31">
        <v>40536</v>
      </c>
      <c r="M338" s="29" t="s">
        <v>1934</v>
      </c>
      <c r="N338" s="14" t="s">
        <v>511</v>
      </c>
      <c r="O338" s="29">
        <v>1</v>
      </c>
      <c r="P338" s="79">
        <f>50137.7</f>
        <v>50137.7</v>
      </c>
    </row>
    <row r="339" spans="1:16" ht="94.5">
      <c r="A339" s="11">
        <v>215</v>
      </c>
      <c r="B339" s="11"/>
      <c r="C339" s="34" t="s">
        <v>781</v>
      </c>
      <c r="D339" s="15" t="s">
        <v>780</v>
      </c>
      <c r="E339" s="29">
        <v>31.5</v>
      </c>
      <c r="F339" s="29"/>
      <c r="G339" s="30" t="s">
        <v>1819</v>
      </c>
      <c r="H339" s="29"/>
      <c r="I339" s="29"/>
      <c r="J339" s="30" t="s">
        <v>1328</v>
      </c>
      <c r="K339" s="15" t="s">
        <v>785</v>
      </c>
      <c r="L339" s="31">
        <v>40537</v>
      </c>
      <c r="M339" s="29" t="s">
        <v>1934</v>
      </c>
      <c r="N339" s="14" t="s">
        <v>511</v>
      </c>
      <c r="O339" s="29">
        <v>1</v>
      </c>
      <c r="P339" s="79">
        <f>50137.7</f>
        <v>50137.7</v>
      </c>
    </row>
    <row r="340" spans="1:16" ht="94.5">
      <c r="A340" s="11">
        <v>216</v>
      </c>
      <c r="B340" s="11"/>
      <c r="C340" s="34" t="s">
        <v>779</v>
      </c>
      <c r="D340" s="15" t="s">
        <v>778</v>
      </c>
      <c r="E340" s="29">
        <v>41.4</v>
      </c>
      <c r="F340" s="29"/>
      <c r="G340" s="30" t="s">
        <v>1820</v>
      </c>
      <c r="H340" s="29"/>
      <c r="I340" s="29"/>
      <c r="J340" s="30" t="s">
        <v>1328</v>
      </c>
      <c r="K340" s="15" t="s">
        <v>786</v>
      </c>
      <c r="L340" s="31">
        <v>40537</v>
      </c>
      <c r="M340" s="29" t="s">
        <v>1934</v>
      </c>
      <c r="N340" s="14" t="s">
        <v>511</v>
      </c>
      <c r="O340" s="29">
        <v>1</v>
      </c>
      <c r="P340" s="79">
        <f>65805.7</f>
        <v>65805.7</v>
      </c>
    </row>
    <row r="341" spans="1:16" ht="94.5">
      <c r="A341" s="11">
        <v>217</v>
      </c>
      <c r="B341" s="11"/>
      <c r="C341" s="34" t="s">
        <v>777</v>
      </c>
      <c r="D341" s="15" t="s">
        <v>776</v>
      </c>
      <c r="E341" s="29">
        <v>40.2</v>
      </c>
      <c r="F341" s="29"/>
      <c r="G341" s="30" t="s">
        <v>1821</v>
      </c>
      <c r="H341" s="29"/>
      <c r="I341" s="29"/>
      <c r="J341" s="30" t="s">
        <v>1328</v>
      </c>
      <c r="K341" s="15" t="s">
        <v>787</v>
      </c>
      <c r="L341" s="31">
        <v>40717</v>
      </c>
      <c r="M341" s="29" t="s">
        <v>1934</v>
      </c>
      <c r="N341" s="14" t="s">
        <v>511</v>
      </c>
      <c r="O341" s="29">
        <v>1</v>
      </c>
      <c r="P341" s="79">
        <f>61101.81</f>
        <v>61101.81</v>
      </c>
    </row>
    <row r="342" spans="1:16" ht="85.5" customHeight="1">
      <c r="A342" s="11">
        <v>218</v>
      </c>
      <c r="B342" s="11"/>
      <c r="C342" s="34" t="s">
        <v>775</v>
      </c>
      <c r="D342" s="15" t="s">
        <v>774</v>
      </c>
      <c r="E342" s="29">
        <v>41.2</v>
      </c>
      <c r="F342" s="29"/>
      <c r="G342" s="30" t="s">
        <v>1919</v>
      </c>
      <c r="H342" s="29"/>
      <c r="I342" s="29"/>
      <c r="J342" s="30" t="s">
        <v>1328</v>
      </c>
      <c r="K342" s="15" t="s">
        <v>788</v>
      </c>
      <c r="L342" s="31">
        <v>40717</v>
      </c>
      <c r="M342" s="29" t="s">
        <v>1934</v>
      </c>
      <c r="N342" s="14" t="s">
        <v>511</v>
      </c>
      <c r="O342" s="29">
        <v>1</v>
      </c>
      <c r="P342" s="79">
        <f>60525.38</f>
        <v>60525.38</v>
      </c>
    </row>
    <row r="343" spans="1:16" ht="79.5" customHeight="1">
      <c r="A343" s="39">
        <v>219</v>
      </c>
      <c r="B343" s="11"/>
      <c r="C343" s="34" t="s">
        <v>773</v>
      </c>
      <c r="D343" s="15" t="s">
        <v>772</v>
      </c>
      <c r="E343" s="29">
        <v>42.1</v>
      </c>
      <c r="F343" s="29"/>
      <c r="G343" s="30" t="s">
        <v>1822</v>
      </c>
      <c r="H343" s="29"/>
      <c r="I343" s="29"/>
      <c r="J343" s="30" t="s">
        <v>1328</v>
      </c>
      <c r="K343" s="15" t="s">
        <v>789</v>
      </c>
      <c r="L343" s="31">
        <v>40717</v>
      </c>
      <c r="M343" s="29" t="s">
        <v>1934</v>
      </c>
      <c r="N343" s="14" t="s">
        <v>511</v>
      </c>
      <c r="O343" s="29">
        <v>1</v>
      </c>
      <c r="P343" s="79">
        <f>60525.38</f>
        <v>60525.38</v>
      </c>
    </row>
    <row r="344" spans="1:16" ht="84" customHeight="1">
      <c r="A344" s="11">
        <v>220</v>
      </c>
      <c r="B344" s="11"/>
      <c r="C344" s="34" t="s">
        <v>771</v>
      </c>
      <c r="D344" s="15" t="s">
        <v>770</v>
      </c>
      <c r="E344" s="29">
        <v>31.2</v>
      </c>
      <c r="F344" s="29"/>
      <c r="G344" s="30" t="s">
        <v>1823</v>
      </c>
      <c r="H344" s="29"/>
      <c r="I344" s="29"/>
      <c r="J344" s="30" t="s">
        <v>1328</v>
      </c>
      <c r="K344" s="15" t="s">
        <v>790</v>
      </c>
      <c r="L344" s="31">
        <v>40625</v>
      </c>
      <c r="M344" s="29" t="s">
        <v>1934</v>
      </c>
      <c r="N344" s="14" t="s">
        <v>511</v>
      </c>
      <c r="O344" s="29">
        <v>1</v>
      </c>
      <c r="P344" s="79">
        <f>46546.9</f>
        <v>46546.9</v>
      </c>
    </row>
    <row r="345" spans="1:16" ht="78.75" customHeight="1">
      <c r="A345" s="39">
        <v>221</v>
      </c>
      <c r="B345" s="11"/>
      <c r="C345" s="34" t="s">
        <v>769</v>
      </c>
      <c r="D345" s="15" t="s">
        <v>768</v>
      </c>
      <c r="E345" s="29">
        <v>41</v>
      </c>
      <c r="F345" s="29"/>
      <c r="G345" s="30" t="s">
        <v>1824</v>
      </c>
      <c r="H345" s="29"/>
      <c r="I345" s="29"/>
      <c r="J345" s="30" t="s">
        <v>1328</v>
      </c>
      <c r="K345" s="15" t="s">
        <v>791</v>
      </c>
      <c r="L345" s="31">
        <v>40620</v>
      </c>
      <c r="M345" s="29" t="s">
        <v>1934</v>
      </c>
      <c r="N345" s="14" t="s">
        <v>511</v>
      </c>
      <c r="O345" s="29">
        <v>1</v>
      </c>
      <c r="P345" s="79">
        <f>61390.04</f>
        <v>61390.04</v>
      </c>
    </row>
    <row r="346" spans="1:16" ht="47.25">
      <c r="A346" s="11">
        <v>222</v>
      </c>
      <c r="B346" s="11"/>
      <c r="C346" s="36" t="s">
        <v>2175</v>
      </c>
      <c r="D346" s="25" t="s">
        <v>2176</v>
      </c>
      <c r="E346" s="29">
        <v>39</v>
      </c>
      <c r="F346" s="29"/>
      <c r="G346" s="30" t="s">
        <v>2177</v>
      </c>
      <c r="H346" s="29"/>
      <c r="I346" s="29"/>
      <c r="J346" s="30" t="s">
        <v>1328</v>
      </c>
      <c r="K346" s="30" t="s">
        <v>2178</v>
      </c>
      <c r="L346" s="31">
        <v>43847</v>
      </c>
      <c r="M346" s="29" t="s">
        <v>1934</v>
      </c>
      <c r="N346" s="27" t="s">
        <v>2174</v>
      </c>
      <c r="O346" s="29">
        <v>1</v>
      </c>
      <c r="P346" s="79">
        <v>2268864</v>
      </c>
    </row>
    <row r="347" spans="1:16" ht="47.25">
      <c r="A347" s="11">
        <v>223</v>
      </c>
      <c r="B347" s="11"/>
      <c r="C347" s="36" t="s">
        <v>2179</v>
      </c>
      <c r="D347" s="25" t="s">
        <v>2180</v>
      </c>
      <c r="E347" s="29">
        <v>59.1</v>
      </c>
      <c r="F347" s="29"/>
      <c r="G347" s="30" t="s">
        <v>2181</v>
      </c>
      <c r="H347" s="29"/>
      <c r="I347" s="29"/>
      <c r="J347" s="30" t="s">
        <v>1328</v>
      </c>
      <c r="K347" s="30" t="s">
        <v>2182</v>
      </c>
      <c r="L347" s="31">
        <v>43845</v>
      </c>
      <c r="M347" s="29" t="s">
        <v>1934</v>
      </c>
      <c r="N347" s="27" t="s">
        <v>2174</v>
      </c>
      <c r="O347" s="29">
        <v>1</v>
      </c>
      <c r="P347" s="79">
        <v>3374208</v>
      </c>
    </row>
    <row r="348" spans="1:16" ht="47.25">
      <c r="A348" s="11">
        <v>224</v>
      </c>
      <c r="B348" s="11"/>
      <c r="C348" s="36" t="s">
        <v>2186</v>
      </c>
      <c r="D348" s="25" t="s">
        <v>2185</v>
      </c>
      <c r="E348" s="29">
        <v>39</v>
      </c>
      <c r="F348" s="29"/>
      <c r="G348" s="30" t="s">
        <v>2183</v>
      </c>
      <c r="H348" s="29"/>
      <c r="I348" s="29"/>
      <c r="J348" s="30" t="s">
        <v>1328</v>
      </c>
      <c r="K348" s="30" t="s">
        <v>2184</v>
      </c>
      <c r="L348" s="31">
        <v>43843</v>
      </c>
      <c r="M348" s="29" t="s">
        <v>1934</v>
      </c>
      <c r="N348" s="27" t="s">
        <v>2174</v>
      </c>
      <c r="O348" s="29">
        <v>1</v>
      </c>
      <c r="P348" s="79">
        <v>2268864</v>
      </c>
    </row>
    <row r="349" spans="1:16" ht="47.25">
      <c r="A349" s="11">
        <v>225</v>
      </c>
      <c r="B349" s="11"/>
      <c r="C349" s="36" t="s">
        <v>2187</v>
      </c>
      <c r="D349" s="25" t="s">
        <v>2188</v>
      </c>
      <c r="E349" s="29">
        <v>39.2</v>
      </c>
      <c r="F349" s="29"/>
      <c r="G349" s="30" t="s">
        <v>2189</v>
      </c>
      <c r="H349" s="29"/>
      <c r="I349" s="29"/>
      <c r="J349" s="30" t="s">
        <v>1328</v>
      </c>
      <c r="K349" s="30" t="s">
        <v>2190</v>
      </c>
      <c r="L349" s="31">
        <v>43847</v>
      </c>
      <c r="M349" s="29" t="s">
        <v>1934</v>
      </c>
      <c r="N349" s="27" t="s">
        <v>2174</v>
      </c>
      <c r="O349" s="29">
        <v>1</v>
      </c>
      <c r="P349" s="79">
        <v>2268864</v>
      </c>
    </row>
    <row r="350" spans="1:16" ht="47.25">
      <c r="A350" s="39">
        <v>226</v>
      </c>
      <c r="B350" s="11"/>
      <c r="C350" s="36" t="s">
        <v>2191</v>
      </c>
      <c r="D350" s="25" t="s">
        <v>2192</v>
      </c>
      <c r="E350" s="29">
        <v>45.2</v>
      </c>
      <c r="F350" s="29"/>
      <c r="G350" s="30" t="s">
        <v>2193</v>
      </c>
      <c r="H350" s="29"/>
      <c r="I350" s="29"/>
      <c r="J350" s="30" t="s">
        <v>1328</v>
      </c>
      <c r="K350" s="30" t="s">
        <v>2194</v>
      </c>
      <c r="L350" s="31">
        <v>43843</v>
      </c>
      <c r="M350" s="29" t="s">
        <v>1934</v>
      </c>
      <c r="N350" s="27" t="s">
        <v>2174</v>
      </c>
      <c r="O350" s="29">
        <v>1</v>
      </c>
      <c r="P350" s="79">
        <v>2559744</v>
      </c>
    </row>
    <row r="351" spans="1:16" ht="47.25">
      <c r="A351" s="11">
        <v>227</v>
      </c>
      <c r="B351" s="11"/>
      <c r="C351" s="36" t="s">
        <v>2195</v>
      </c>
      <c r="D351" s="25" t="s">
        <v>2196</v>
      </c>
      <c r="E351" s="29">
        <v>42</v>
      </c>
      <c r="F351" s="29"/>
      <c r="G351" s="30" t="s">
        <v>2197</v>
      </c>
      <c r="H351" s="29"/>
      <c r="I351" s="29"/>
      <c r="J351" s="30" t="s">
        <v>1328</v>
      </c>
      <c r="K351" s="30" t="s">
        <v>2198</v>
      </c>
      <c r="L351" s="31">
        <v>43845</v>
      </c>
      <c r="M351" s="29" t="s">
        <v>1934</v>
      </c>
      <c r="N351" s="27" t="s">
        <v>2174</v>
      </c>
      <c r="O351" s="29">
        <v>1</v>
      </c>
      <c r="P351" s="79">
        <v>2385216</v>
      </c>
    </row>
    <row r="352" spans="1:16" ht="47.25">
      <c r="A352" s="7">
        <v>228</v>
      </c>
      <c r="B352" s="11"/>
      <c r="C352" s="36" t="s">
        <v>2199</v>
      </c>
      <c r="D352" s="25" t="s">
        <v>2200</v>
      </c>
      <c r="E352" s="29">
        <v>42.1</v>
      </c>
      <c r="F352" s="29"/>
      <c r="G352" s="30" t="s">
        <v>2201</v>
      </c>
      <c r="H352" s="29"/>
      <c r="I352" s="29"/>
      <c r="J352" s="30" t="s">
        <v>1328</v>
      </c>
      <c r="K352" s="30" t="s">
        <v>2202</v>
      </c>
      <c r="L352" s="31">
        <v>43843</v>
      </c>
      <c r="M352" s="29" t="s">
        <v>1934</v>
      </c>
      <c r="N352" s="27" t="s">
        <v>2174</v>
      </c>
      <c r="O352" s="29">
        <v>1</v>
      </c>
      <c r="P352" s="79">
        <v>2443392</v>
      </c>
    </row>
    <row r="353" spans="1:16" ht="47.25">
      <c r="A353" s="11">
        <v>229</v>
      </c>
      <c r="B353" s="11"/>
      <c r="C353" s="36" t="s">
        <v>2203</v>
      </c>
      <c r="D353" s="25" t="s">
        <v>2204</v>
      </c>
      <c r="E353" s="29">
        <v>42.2</v>
      </c>
      <c r="F353" s="29"/>
      <c r="G353" s="30" t="s">
        <v>2205</v>
      </c>
      <c r="H353" s="29"/>
      <c r="I353" s="29"/>
      <c r="J353" s="30" t="s">
        <v>1328</v>
      </c>
      <c r="K353" s="30" t="s">
        <v>2206</v>
      </c>
      <c r="L353" s="31">
        <v>43847</v>
      </c>
      <c r="M353" s="29" t="s">
        <v>1934</v>
      </c>
      <c r="N353" s="27" t="s">
        <v>2174</v>
      </c>
      <c r="O353" s="29">
        <v>1</v>
      </c>
      <c r="P353" s="79">
        <v>2385216</v>
      </c>
    </row>
    <row r="354" spans="1:16" ht="47.25">
      <c r="A354" s="11">
        <v>230</v>
      </c>
      <c r="B354" s="11"/>
      <c r="C354" s="36" t="s">
        <v>2207</v>
      </c>
      <c r="D354" s="25" t="s">
        <v>2208</v>
      </c>
      <c r="E354" s="29">
        <v>45.1</v>
      </c>
      <c r="F354" s="29"/>
      <c r="G354" s="30" t="s">
        <v>2209</v>
      </c>
      <c r="H354" s="29"/>
      <c r="I354" s="29"/>
      <c r="J354" s="30" t="s">
        <v>1328</v>
      </c>
      <c r="K354" s="30" t="s">
        <v>2210</v>
      </c>
      <c r="L354" s="31">
        <v>43847</v>
      </c>
      <c r="M354" s="29" t="s">
        <v>1934</v>
      </c>
      <c r="N354" s="27" t="s">
        <v>2174</v>
      </c>
      <c r="O354" s="29">
        <v>1</v>
      </c>
      <c r="P354" s="79">
        <v>2559744</v>
      </c>
    </row>
    <row r="355" spans="1:16" ht="47.25">
      <c r="A355" s="11">
        <v>231</v>
      </c>
      <c r="B355" s="11"/>
      <c r="C355" s="36" t="s">
        <v>2212</v>
      </c>
      <c r="D355" s="25" t="s">
        <v>2213</v>
      </c>
      <c r="E355" s="29">
        <v>42.2</v>
      </c>
      <c r="F355" s="29"/>
      <c r="G355" s="30" t="s">
        <v>2211</v>
      </c>
      <c r="H355" s="29"/>
      <c r="I355" s="29"/>
      <c r="J355" s="30" t="s">
        <v>1328</v>
      </c>
      <c r="K355" s="30" t="s">
        <v>2214</v>
      </c>
      <c r="L355" s="31">
        <v>43843</v>
      </c>
      <c r="M355" s="29" t="s">
        <v>1934</v>
      </c>
      <c r="N355" s="27" t="s">
        <v>2174</v>
      </c>
      <c r="O355" s="29">
        <v>1</v>
      </c>
      <c r="P355" s="79">
        <v>2443392</v>
      </c>
    </row>
    <row r="356" spans="1:16" ht="47.25">
      <c r="A356" s="11">
        <v>232</v>
      </c>
      <c r="B356" s="11"/>
      <c r="C356" s="36" t="s">
        <v>2269</v>
      </c>
      <c r="D356" s="25" t="s">
        <v>2270</v>
      </c>
      <c r="E356" s="29">
        <v>42</v>
      </c>
      <c r="F356" s="29"/>
      <c r="G356" s="30" t="s">
        <v>2271</v>
      </c>
      <c r="H356" s="29"/>
      <c r="I356" s="29"/>
      <c r="J356" s="30" t="s">
        <v>1328</v>
      </c>
      <c r="K356" s="30" t="s">
        <v>2272</v>
      </c>
      <c r="L356" s="31">
        <v>43969</v>
      </c>
      <c r="M356" s="29" t="s">
        <v>1934</v>
      </c>
      <c r="N356" s="27" t="s">
        <v>2273</v>
      </c>
      <c r="O356" s="29">
        <v>1</v>
      </c>
      <c r="P356" s="79">
        <v>2443392</v>
      </c>
    </row>
    <row r="357" spans="1:16" ht="47.25">
      <c r="A357" s="11">
        <v>233</v>
      </c>
      <c r="B357" s="11"/>
      <c r="C357" s="36" t="s">
        <v>2224</v>
      </c>
      <c r="D357" s="25" t="s">
        <v>2274</v>
      </c>
      <c r="E357" s="29">
        <v>42.2</v>
      </c>
      <c r="F357" s="29"/>
      <c r="G357" s="30" t="s">
        <v>2275</v>
      </c>
      <c r="H357" s="29"/>
      <c r="I357" s="29"/>
      <c r="J357" s="30" t="s">
        <v>1328</v>
      </c>
      <c r="K357" s="30" t="s">
        <v>2276</v>
      </c>
      <c r="L357" s="31">
        <v>43969</v>
      </c>
      <c r="M357" s="29" t="s">
        <v>1934</v>
      </c>
      <c r="N357" s="27" t="s">
        <v>2273</v>
      </c>
      <c r="O357" s="29">
        <v>1</v>
      </c>
      <c r="P357" s="79">
        <v>2443392</v>
      </c>
    </row>
    <row r="358" spans="1:16" ht="47.25">
      <c r="A358" s="11">
        <v>234</v>
      </c>
      <c r="B358" s="11"/>
      <c r="C358" s="34" t="s">
        <v>767</v>
      </c>
      <c r="D358" s="15" t="s">
        <v>766</v>
      </c>
      <c r="E358" s="29">
        <v>40.2</v>
      </c>
      <c r="F358" s="29"/>
      <c r="G358" s="29" t="s">
        <v>1827</v>
      </c>
      <c r="H358" s="29"/>
      <c r="I358" s="29"/>
      <c r="J358" s="30" t="s">
        <v>1328</v>
      </c>
      <c r="K358" s="25" t="s">
        <v>1828</v>
      </c>
      <c r="L358" s="31">
        <v>180520</v>
      </c>
      <c r="M358" s="29" t="s">
        <v>1934</v>
      </c>
      <c r="N358" s="14" t="s">
        <v>793</v>
      </c>
      <c r="O358" s="29">
        <v>1</v>
      </c>
      <c r="P358" s="79">
        <f>2246160</f>
        <v>2246160</v>
      </c>
    </row>
    <row r="359" spans="1:16" ht="47.25">
      <c r="A359" s="11">
        <v>235</v>
      </c>
      <c r="B359" s="11"/>
      <c r="C359" s="34" t="s">
        <v>765</v>
      </c>
      <c r="D359" s="15" t="s">
        <v>764</v>
      </c>
      <c r="E359" s="29">
        <v>44.5</v>
      </c>
      <c r="F359" s="29"/>
      <c r="G359" s="29" t="s">
        <v>1829</v>
      </c>
      <c r="H359" s="29"/>
      <c r="I359" s="29"/>
      <c r="J359" s="30" t="s">
        <v>1328</v>
      </c>
      <c r="K359" s="25" t="s">
        <v>1830</v>
      </c>
      <c r="L359" s="31">
        <v>42443</v>
      </c>
      <c r="M359" s="29" t="s">
        <v>1934</v>
      </c>
      <c r="N359" s="14" t="s">
        <v>794</v>
      </c>
      <c r="O359" s="29">
        <v>1</v>
      </c>
      <c r="P359" s="79">
        <f>2470776</f>
        <v>2470776</v>
      </c>
    </row>
    <row r="360" spans="1:16" ht="47.25">
      <c r="A360" s="11">
        <v>236</v>
      </c>
      <c r="B360" s="11"/>
      <c r="C360" s="34" t="s">
        <v>763</v>
      </c>
      <c r="D360" s="15" t="s">
        <v>762</v>
      </c>
      <c r="E360" s="29">
        <v>60.1</v>
      </c>
      <c r="F360" s="29"/>
      <c r="G360" s="29" t="s">
        <v>1831</v>
      </c>
      <c r="H360" s="29"/>
      <c r="I360" s="29"/>
      <c r="J360" s="30" t="s">
        <v>1328</v>
      </c>
      <c r="K360" s="25" t="s">
        <v>1832</v>
      </c>
      <c r="L360" s="31">
        <v>42443</v>
      </c>
      <c r="M360" s="29" t="s">
        <v>1934</v>
      </c>
      <c r="N360" s="14" t="s">
        <v>795</v>
      </c>
      <c r="O360" s="29">
        <v>1</v>
      </c>
      <c r="P360" s="79">
        <f>3369240</f>
        <v>3369240</v>
      </c>
    </row>
    <row r="361" spans="1:16" ht="47.25">
      <c r="A361" s="11">
        <v>237</v>
      </c>
      <c r="B361" s="11"/>
      <c r="C361" s="34" t="s">
        <v>761</v>
      </c>
      <c r="D361" s="15" t="s">
        <v>760</v>
      </c>
      <c r="E361" s="29">
        <v>44.7</v>
      </c>
      <c r="F361" s="29"/>
      <c r="G361" s="29" t="s">
        <v>1833</v>
      </c>
      <c r="H361" s="29"/>
      <c r="I361" s="29"/>
      <c r="J361" s="30" t="s">
        <v>1328</v>
      </c>
      <c r="K361" s="25" t="s">
        <v>1834</v>
      </c>
      <c r="L361" s="31">
        <v>42443</v>
      </c>
      <c r="M361" s="29" t="s">
        <v>1934</v>
      </c>
      <c r="N361" s="14" t="s">
        <v>794</v>
      </c>
      <c r="O361" s="29">
        <v>1</v>
      </c>
      <c r="P361" s="79">
        <f>2470776</f>
        <v>2470776</v>
      </c>
    </row>
    <row r="362" spans="1:16" ht="78.75" customHeight="1">
      <c r="A362" s="11">
        <v>238</v>
      </c>
      <c r="B362" s="11"/>
      <c r="C362" s="34" t="s">
        <v>841</v>
      </c>
      <c r="D362" s="15" t="s">
        <v>840</v>
      </c>
      <c r="E362" s="29">
        <v>53.6</v>
      </c>
      <c r="F362" s="29"/>
      <c r="G362" s="30" t="s">
        <v>1835</v>
      </c>
      <c r="H362" s="29"/>
      <c r="I362" s="29"/>
      <c r="J362" s="30" t="s">
        <v>1328</v>
      </c>
      <c r="K362" s="15" t="s">
        <v>842</v>
      </c>
      <c r="L362" s="31">
        <v>40505</v>
      </c>
      <c r="M362" s="29" t="s">
        <v>1934</v>
      </c>
      <c r="N362" s="14" t="s">
        <v>511</v>
      </c>
      <c r="O362" s="29">
        <v>1</v>
      </c>
      <c r="P362" s="79">
        <f>76912.51</f>
        <v>76912.51</v>
      </c>
    </row>
    <row r="363" spans="1:16" ht="47.25">
      <c r="A363" s="11">
        <v>239</v>
      </c>
      <c r="B363" s="11"/>
      <c r="C363" s="34" t="s">
        <v>839</v>
      </c>
      <c r="D363" s="15" t="s">
        <v>838</v>
      </c>
      <c r="E363" s="29">
        <v>31.4</v>
      </c>
      <c r="F363" s="29"/>
      <c r="G363" s="30" t="s">
        <v>1837</v>
      </c>
      <c r="H363" s="29"/>
      <c r="I363" s="29"/>
      <c r="J363" s="30" t="s">
        <v>1328</v>
      </c>
      <c r="K363" s="15" t="s">
        <v>844</v>
      </c>
      <c r="L363" s="31">
        <v>40478</v>
      </c>
      <c r="M363" s="29" t="s">
        <v>1934</v>
      </c>
      <c r="N363" s="14" t="s">
        <v>843</v>
      </c>
      <c r="O363" s="29">
        <v>1</v>
      </c>
      <c r="P363" s="79">
        <f>45640.37</f>
        <v>45640.37</v>
      </c>
    </row>
    <row r="364" spans="1:16" ht="80.25" customHeight="1">
      <c r="A364" s="11">
        <v>240</v>
      </c>
      <c r="B364" s="11"/>
      <c r="C364" s="34" t="s">
        <v>837</v>
      </c>
      <c r="D364" s="15" t="s">
        <v>836</v>
      </c>
      <c r="E364" s="29">
        <v>53.7</v>
      </c>
      <c r="F364" s="29"/>
      <c r="G364" s="30" t="s">
        <v>1836</v>
      </c>
      <c r="H364" s="29"/>
      <c r="I364" s="29"/>
      <c r="J364" s="30" t="s">
        <v>1328</v>
      </c>
      <c r="K364" s="15" t="s">
        <v>845</v>
      </c>
      <c r="L364" s="31">
        <v>40478</v>
      </c>
      <c r="M364" s="29" t="s">
        <v>1934</v>
      </c>
      <c r="N364" s="14" t="s">
        <v>511</v>
      </c>
      <c r="O364" s="29">
        <v>1</v>
      </c>
      <c r="P364" s="79">
        <f>76208.18</f>
        <v>76208.18</v>
      </c>
    </row>
    <row r="365" spans="1:16" ht="47.25">
      <c r="A365" s="7">
        <v>241</v>
      </c>
      <c r="B365" s="11"/>
      <c r="C365" s="34" t="s">
        <v>835</v>
      </c>
      <c r="D365" s="15" t="s">
        <v>834</v>
      </c>
      <c r="E365" s="29">
        <v>53.9</v>
      </c>
      <c r="F365" s="29"/>
      <c r="G365" s="30" t="s">
        <v>1838</v>
      </c>
      <c r="H365" s="29"/>
      <c r="I365" s="29"/>
      <c r="J365" s="30" t="s">
        <v>1328</v>
      </c>
      <c r="K365" s="15" t="s">
        <v>847</v>
      </c>
      <c r="L365" s="31">
        <v>40478</v>
      </c>
      <c r="M365" s="29" t="s">
        <v>1934</v>
      </c>
      <c r="N365" s="14" t="s">
        <v>846</v>
      </c>
      <c r="O365" s="29">
        <v>1</v>
      </c>
      <c r="P365" s="79">
        <f>75926.45</f>
        <v>75926.45</v>
      </c>
    </row>
    <row r="366" spans="1:16" ht="47.25">
      <c r="A366" s="11">
        <v>242</v>
      </c>
      <c r="B366" s="11"/>
      <c r="C366" s="34" t="s">
        <v>833</v>
      </c>
      <c r="D366" s="15" t="s">
        <v>832</v>
      </c>
      <c r="E366" s="29">
        <v>50.7</v>
      </c>
      <c r="F366" s="29"/>
      <c r="G366" s="30" t="s">
        <v>1839</v>
      </c>
      <c r="H366" s="29"/>
      <c r="I366" s="29"/>
      <c r="J366" s="30" t="s">
        <v>1328</v>
      </c>
      <c r="K366" s="15" t="s">
        <v>848</v>
      </c>
      <c r="L366" s="31">
        <v>40478</v>
      </c>
      <c r="M366" s="29" t="s">
        <v>1934</v>
      </c>
      <c r="N366" s="14" t="s">
        <v>792</v>
      </c>
      <c r="O366" s="29">
        <v>1</v>
      </c>
      <c r="P366" s="79">
        <f>80190.46</f>
        <v>80190.46</v>
      </c>
    </row>
    <row r="367" spans="1:16" ht="47.25">
      <c r="A367" s="7">
        <v>243</v>
      </c>
      <c r="B367" s="11"/>
      <c r="C367" s="34" t="s">
        <v>831</v>
      </c>
      <c r="D367" s="15" t="s">
        <v>830</v>
      </c>
      <c r="E367" s="29">
        <v>50.8</v>
      </c>
      <c r="F367" s="29"/>
      <c r="G367" s="30" t="s">
        <v>1840</v>
      </c>
      <c r="H367" s="29"/>
      <c r="I367" s="29"/>
      <c r="J367" s="30" t="s">
        <v>1328</v>
      </c>
      <c r="K367" s="15" t="s">
        <v>849</v>
      </c>
      <c r="L367" s="31">
        <v>40478</v>
      </c>
      <c r="M367" s="29" t="s">
        <v>1934</v>
      </c>
      <c r="N367" s="14" t="s">
        <v>792</v>
      </c>
      <c r="O367" s="29">
        <v>1</v>
      </c>
      <c r="P367" s="79">
        <f>80190.46</f>
        <v>80190.46</v>
      </c>
    </row>
    <row r="368" spans="1:16" ht="47.25">
      <c r="A368" s="47">
        <v>244</v>
      </c>
      <c r="B368" s="11"/>
      <c r="C368" s="34" t="s">
        <v>829</v>
      </c>
      <c r="D368" s="15" t="s">
        <v>828</v>
      </c>
      <c r="E368" s="29">
        <v>42.6</v>
      </c>
      <c r="F368" s="29"/>
      <c r="G368" s="30" t="s">
        <v>1841</v>
      </c>
      <c r="H368" s="29"/>
      <c r="I368" s="29"/>
      <c r="J368" s="30" t="s">
        <v>1328</v>
      </c>
      <c r="K368" s="25" t="s">
        <v>1842</v>
      </c>
      <c r="L368" s="31">
        <v>39918</v>
      </c>
      <c r="M368" s="29" t="s">
        <v>1934</v>
      </c>
      <c r="N368" s="14" t="s">
        <v>850</v>
      </c>
      <c r="O368" s="29">
        <v>1</v>
      </c>
      <c r="P368" s="79">
        <f>43924.1</f>
        <v>43924.1</v>
      </c>
    </row>
    <row r="369" spans="1:16" ht="84" customHeight="1">
      <c r="A369" s="7">
        <v>245</v>
      </c>
      <c r="B369" s="11"/>
      <c r="C369" s="34" t="s">
        <v>827</v>
      </c>
      <c r="D369" s="15" t="s">
        <v>826</v>
      </c>
      <c r="E369" s="29">
        <v>45.8</v>
      </c>
      <c r="F369" s="29"/>
      <c r="G369" s="30" t="s">
        <v>1843</v>
      </c>
      <c r="H369" s="29"/>
      <c r="I369" s="29"/>
      <c r="J369" s="30" t="s">
        <v>1328</v>
      </c>
      <c r="K369" s="15" t="s">
        <v>851</v>
      </c>
      <c r="L369" s="31">
        <v>40479</v>
      </c>
      <c r="M369" s="29" t="s">
        <v>1934</v>
      </c>
      <c r="N369" s="14" t="s">
        <v>496</v>
      </c>
      <c r="O369" s="29">
        <v>1</v>
      </c>
      <c r="P369" s="79">
        <f>63452.42</f>
        <v>63452.42</v>
      </c>
    </row>
    <row r="370" spans="1:16" ht="47.25">
      <c r="A370" s="39">
        <v>246</v>
      </c>
      <c r="B370" s="11"/>
      <c r="C370" s="36" t="s">
        <v>2134</v>
      </c>
      <c r="D370" s="25" t="s">
        <v>2135</v>
      </c>
      <c r="E370" s="29">
        <v>30.9</v>
      </c>
      <c r="F370" s="29"/>
      <c r="G370" s="30" t="s">
        <v>2136</v>
      </c>
      <c r="H370" s="29"/>
      <c r="I370" s="29"/>
      <c r="J370" s="30" t="s">
        <v>1328</v>
      </c>
      <c r="K370" s="15"/>
      <c r="L370" s="31">
        <v>43682</v>
      </c>
      <c r="M370" s="29" t="s">
        <v>1934</v>
      </c>
      <c r="N370" s="27" t="s">
        <v>2137</v>
      </c>
      <c r="O370" s="29">
        <v>1</v>
      </c>
      <c r="P370" s="79">
        <v>321000</v>
      </c>
    </row>
    <row r="371" spans="1:16" ht="47.25">
      <c r="A371" s="11">
        <v>247</v>
      </c>
      <c r="B371" s="11"/>
      <c r="C371" s="36" t="s">
        <v>2166</v>
      </c>
      <c r="D371" s="25" t="s">
        <v>2167</v>
      </c>
      <c r="E371" s="29">
        <v>51.4</v>
      </c>
      <c r="F371" s="29"/>
      <c r="G371" s="30" t="s">
        <v>2168</v>
      </c>
      <c r="H371" s="29"/>
      <c r="I371" s="29"/>
      <c r="J371" s="30" t="s">
        <v>1328</v>
      </c>
      <c r="K371" s="15"/>
      <c r="L371" s="31">
        <v>43839</v>
      </c>
      <c r="M371" s="29" t="s">
        <v>1934</v>
      </c>
      <c r="N371" s="27" t="s">
        <v>2137</v>
      </c>
      <c r="O371" s="29">
        <v>1</v>
      </c>
      <c r="P371" s="79">
        <v>857000</v>
      </c>
    </row>
    <row r="372" spans="1:16" ht="47.25">
      <c r="A372" s="11">
        <v>248</v>
      </c>
      <c r="B372" s="11"/>
      <c r="C372" s="34" t="s">
        <v>825</v>
      </c>
      <c r="D372" s="15" t="s">
        <v>824</v>
      </c>
      <c r="E372" s="29">
        <v>40.9</v>
      </c>
      <c r="F372" s="29"/>
      <c r="G372" s="30" t="s">
        <v>1844</v>
      </c>
      <c r="H372" s="29"/>
      <c r="I372" s="29"/>
      <c r="J372" s="30" t="s">
        <v>1328</v>
      </c>
      <c r="K372" s="15" t="s">
        <v>852</v>
      </c>
      <c r="L372" s="31">
        <v>40752</v>
      </c>
      <c r="M372" s="29" t="s">
        <v>1934</v>
      </c>
      <c r="N372" s="27" t="s">
        <v>2169</v>
      </c>
      <c r="O372" s="29">
        <v>1</v>
      </c>
      <c r="P372" s="79">
        <v>42768.29</v>
      </c>
    </row>
    <row r="373" spans="1:16" ht="82.5" customHeight="1">
      <c r="A373" s="11">
        <v>249</v>
      </c>
      <c r="B373" s="11"/>
      <c r="C373" s="34" t="s">
        <v>823</v>
      </c>
      <c r="D373" s="15" t="s">
        <v>822</v>
      </c>
      <c r="E373" s="29">
        <v>51.7</v>
      </c>
      <c r="F373" s="29"/>
      <c r="G373" s="30" t="s">
        <v>1845</v>
      </c>
      <c r="H373" s="29"/>
      <c r="I373" s="29"/>
      <c r="J373" s="30" t="s">
        <v>1328</v>
      </c>
      <c r="K373" s="15" t="s">
        <v>853</v>
      </c>
      <c r="L373" s="31">
        <v>41207</v>
      </c>
      <c r="M373" s="29" t="s">
        <v>1934</v>
      </c>
      <c r="N373" s="14" t="s">
        <v>472</v>
      </c>
      <c r="O373" s="29">
        <v>1</v>
      </c>
      <c r="P373" s="79">
        <f>78212.32</f>
        <v>78212.32</v>
      </c>
    </row>
    <row r="374" spans="1:16" ht="84" customHeight="1">
      <c r="A374" s="11">
        <v>250</v>
      </c>
      <c r="B374" s="11"/>
      <c r="C374" s="34" t="s">
        <v>821</v>
      </c>
      <c r="D374" s="15" t="s">
        <v>820</v>
      </c>
      <c r="E374" s="29">
        <v>41.9</v>
      </c>
      <c r="F374" s="29"/>
      <c r="G374" s="30" t="s">
        <v>1846</v>
      </c>
      <c r="H374" s="29"/>
      <c r="I374" s="29"/>
      <c r="J374" s="30" t="s">
        <v>1328</v>
      </c>
      <c r="K374" s="15" t="s">
        <v>854</v>
      </c>
      <c r="L374" s="31">
        <v>40436</v>
      </c>
      <c r="M374" s="29" t="s">
        <v>1934</v>
      </c>
      <c r="N374" s="14" t="s">
        <v>472</v>
      </c>
      <c r="O374" s="29">
        <v>1</v>
      </c>
      <c r="P374" s="79">
        <f>109569.69</f>
        <v>109569.69</v>
      </c>
    </row>
    <row r="375" spans="1:16" ht="78" customHeight="1">
      <c r="A375" s="47">
        <v>251</v>
      </c>
      <c r="B375" s="11"/>
      <c r="C375" s="34" t="s">
        <v>819</v>
      </c>
      <c r="D375" s="15" t="s">
        <v>818</v>
      </c>
      <c r="E375" s="29">
        <v>53.1</v>
      </c>
      <c r="F375" s="29"/>
      <c r="G375" s="30" t="s">
        <v>1920</v>
      </c>
      <c r="H375" s="29"/>
      <c r="I375" s="29"/>
      <c r="J375" s="30" t="s">
        <v>1328</v>
      </c>
      <c r="K375" s="15" t="s">
        <v>855</v>
      </c>
      <c r="L375" s="31">
        <v>40469</v>
      </c>
      <c r="M375" s="29" t="s">
        <v>1934</v>
      </c>
      <c r="N375" s="14" t="s">
        <v>472</v>
      </c>
      <c r="O375" s="29">
        <v>1</v>
      </c>
      <c r="P375" s="79">
        <f>57697.32</f>
        <v>57697.32</v>
      </c>
    </row>
    <row r="376" spans="1:16" ht="47.25">
      <c r="A376" s="11">
        <v>252</v>
      </c>
      <c r="B376" s="11"/>
      <c r="C376" s="34" t="s">
        <v>817</v>
      </c>
      <c r="D376" s="15" t="s">
        <v>816</v>
      </c>
      <c r="E376" s="29">
        <v>53</v>
      </c>
      <c r="F376" s="29"/>
      <c r="G376" s="30" t="s">
        <v>1847</v>
      </c>
      <c r="H376" s="29"/>
      <c r="I376" s="29"/>
      <c r="J376" s="30" t="s">
        <v>1328</v>
      </c>
      <c r="K376" s="15" t="s">
        <v>856</v>
      </c>
      <c r="L376" s="31">
        <v>40470</v>
      </c>
      <c r="M376" s="29" t="s">
        <v>1934</v>
      </c>
      <c r="N376" s="14" t="s">
        <v>843</v>
      </c>
      <c r="O376" s="29">
        <v>1</v>
      </c>
      <c r="P376" s="79">
        <f>57593.91</f>
        <v>57593.91</v>
      </c>
    </row>
    <row r="377" spans="1:16" ht="47.25">
      <c r="A377" s="11">
        <v>253</v>
      </c>
      <c r="B377" s="11"/>
      <c r="C377" s="34" t="s">
        <v>815</v>
      </c>
      <c r="D377" s="15" t="s">
        <v>814</v>
      </c>
      <c r="E377" s="29">
        <v>51.3</v>
      </c>
      <c r="F377" s="29"/>
      <c r="G377" s="30" t="s">
        <v>1921</v>
      </c>
      <c r="H377" s="29"/>
      <c r="I377" s="29"/>
      <c r="J377" s="30" t="s">
        <v>1328</v>
      </c>
      <c r="K377" s="15" t="s">
        <v>858</v>
      </c>
      <c r="L377" s="31">
        <v>40478</v>
      </c>
      <c r="M377" s="29" t="s">
        <v>1934</v>
      </c>
      <c r="N377" s="14" t="s">
        <v>857</v>
      </c>
      <c r="O377" s="29">
        <v>1</v>
      </c>
      <c r="P377" s="79">
        <f>72066.51</f>
        <v>72066.51</v>
      </c>
    </row>
    <row r="378" spans="1:16" ht="47.25">
      <c r="A378" s="11">
        <v>254</v>
      </c>
      <c r="B378" s="11"/>
      <c r="C378" s="34" t="s">
        <v>813</v>
      </c>
      <c r="D378" s="15" t="s">
        <v>812</v>
      </c>
      <c r="E378" s="29">
        <v>40.3</v>
      </c>
      <c r="F378" s="29"/>
      <c r="G378" s="30" t="s">
        <v>1922</v>
      </c>
      <c r="H378" s="29"/>
      <c r="I378" s="29"/>
      <c r="J378" s="30" t="s">
        <v>1328</v>
      </c>
      <c r="K378" s="15" t="s">
        <v>859</v>
      </c>
      <c r="L378" s="31">
        <v>40478</v>
      </c>
      <c r="M378" s="29" t="s">
        <v>1934</v>
      </c>
      <c r="N378" s="14" t="s">
        <v>846</v>
      </c>
      <c r="O378" s="29">
        <v>1</v>
      </c>
      <c r="P378" s="79">
        <f>57544.64</f>
        <v>57544.64</v>
      </c>
    </row>
    <row r="379" spans="1:16" ht="47.25">
      <c r="A379" s="11">
        <v>255</v>
      </c>
      <c r="B379" s="11"/>
      <c r="C379" s="34" t="s">
        <v>811</v>
      </c>
      <c r="D379" s="15" t="s">
        <v>810</v>
      </c>
      <c r="E379" s="29">
        <v>51</v>
      </c>
      <c r="F379" s="29"/>
      <c r="G379" s="30" t="s">
        <v>1923</v>
      </c>
      <c r="H379" s="29"/>
      <c r="I379" s="29"/>
      <c r="J379" s="30" t="s">
        <v>1328</v>
      </c>
      <c r="K379" s="15" t="s">
        <v>860</v>
      </c>
      <c r="L379" s="31">
        <v>40478</v>
      </c>
      <c r="M379" s="29" t="s">
        <v>1934</v>
      </c>
      <c r="N379" s="14" t="s">
        <v>846</v>
      </c>
      <c r="O379" s="29">
        <v>1</v>
      </c>
      <c r="P379" s="79">
        <f>71930.79</f>
        <v>71930.79</v>
      </c>
    </row>
    <row r="380" spans="1:16" ht="94.5">
      <c r="A380" s="11">
        <v>256</v>
      </c>
      <c r="B380" s="11"/>
      <c r="C380" s="34" t="s">
        <v>809</v>
      </c>
      <c r="D380" s="15" t="s">
        <v>808</v>
      </c>
      <c r="E380" s="29">
        <v>40.4</v>
      </c>
      <c r="F380" s="29"/>
      <c r="G380" s="30" t="s">
        <v>1924</v>
      </c>
      <c r="H380" s="29"/>
      <c r="I380" s="29"/>
      <c r="J380" s="30" t="s">
        <v>1328</v>
      </c>
      <c r="K380" s="15" t="s">
        <v>861</v>
      </c>
      <c r="L380" s="31">
        <v>40479</v>
      </c>
      <c r="M380" s="29" t="s">
        <v>1934</v>
      </c>
      <c r="N380" s="14" t="s">
        <v>511</v>
      </c>
      <c r="O380" s="29">
        <v>1</v>
      </c>
      <c r="P380" s="79">
        <f>57544.64</f>
        <v>57544.64</v>
      </c>
    </row>
    <row r="381" spans="1:16" ht="47.25">
      <c r="A381" s="11">
        <v>257</v>
      </c>
      <c r="B381" s="11"/>
      <c r="C381" s="34" t="s">
        <v>807</v>
      </c>
      <c r="D381" s="15" t="s">
        <v>806</v>
      </c>
      <c r="E381" s="29">
        <v>30.5</v>
      </c>
      <c r="F381" s="29"/>
      <c r="G381" s="30" t="s">
        <v>1925</v>
      </c>
      <c r="H381" s="29"/>
      <c r="I381" s="29"/>
      <c r="J381" s="30" t="s">
        <v>1328</v>
      </c>
      <c r="K381" s="15" t="s">
        <v>862</v>
      </c>
      <c r="L381" s="31">
        <v>40478</v>
      </c>
      <c r="M381" s="29" t="s">
        <v>1934</v>
      </c>
      <c r="N381" s="14" t="s">
        <v>846</v>
      </c>
      <c r="O381" s="29">
        <v>1</v>
      </c>
      <c r="P381" s="79">
        <f>42751.32</f>
        <v>42751.32</v>
      </c>
    </row>
    <row r="382" spans="1:16" ht="47.25">
      <c r="A382" s="11">
        <v>258</v>
      </c>
      <c r="B382" s="11"/>
      <c r="C382" s="34" t="s">
        <v>805</v>
      </c>
      <c r="D382" s="15" t="s">
        <v>804</v>
      </c>
      <c r="E382" s="29">
        <v>42.3</v>
      </c>
      <c r="F382" s="29"/>
      <c r="G382" s="30" t="s">
        <v>1825</v>
      </c>
      <c r="H382" s="29"/>
      <c r="I382" s="29"/>
      <c r="J382" s="30" t="s">
        <v>1328</v>
      </c>
      <c r="K382" s="30" t="s">
        <v>2352</v>
      </c>
      <c r="L382" s="31">
        <v>42815</v>
      </c>
      <c r="M382" s="29" t="s">
        <v>1934</v>
      </c>
      <c r="N382" s="27" t="s">
        <v>1826</v>
      </c>
      <c r="O382" s="29">
        <v>1</v>
      </c>
      <c r="P382" s="79">
        <f>417000</f>
        <v>417000</v>
      </c>
    </row>
    <row r="383" spans="1:16" ht="47.25">
      <c r="A383" s="7">
        <v>259</v>
      </c>
      <c r="B383" s="11"/>
      <c r="C383" s="34" t="s">
        <v>803</v>
      </c>
      <c r="D383" s="15" t="s">
        <v>802</v>
      </c>
      <c r="E383" s="29">
        <v>30.4</v>
      </c>
      <c r="F383" s="29"/>
      <c r="G383" s="30" t="s">
        <v>1926</v>
      </c>
      <c r="H383" s="29"/>
      <c r="I383" s="29"/>
      <c r="J383" s="30" t="s">
        <v>1328</v>
      </c>
      <c r="K383" s="25" t="s">
        <v>1443</v>
      </c>
      <c r="L383" s="31">
        <v>40478</v>
      </c>
      <c r="M383" s="29" t="s">
        <v>1934</v>
      </c>
      <c r="N383" s="14" t="s">
        <v>792</v>
      </c>
      <c r="O383" s="29">
        <v>1</v>
      </c>
      <c r="P383" s="79">
        <f>58087.51</f>
        <v>58087.51</v>
      </c>
    </row>
    <row r="384" spans="1:16" ht="47.25">
      <c r="A384" s="7">
        <v>260</v>
      </c>
      <c r="B384" s="11"/>
      <c r="C384" s="36" t="s">
        <v>2306</v>
      </c>
      <c r="D384" s="25" t="s">
        <v>2307</v>
      </c>
      <c r="E384" s="29">
        <v>40.5</v>
      </c>
      <c r="F384" s="29"/>
      <c r="G384" s="30" t="s">
        <v>2308</v>
      </c>
      <c r="H384" s="29"/>
      <c r="I384" s="29"/>
      <c r="J384" s="30" t="s">
        <v>1328</v>
      </c>
      <c r="K384" s="30" t="s">
        <v>2353</v>
      </c>
      <c r="L384" s="31">
        <v>44081</v>
      </c>
      <c r="M384" s="29" t="s">
        <v>1934</v>
      </c>
      <c r="N384" s="27" t="s">
        <v>2309</v>
      </c>
      <c r="O384" s="29">
        <v>1</v>
      </c>
      <c r="P384" s="79">
        <v>391000</v>
      </c>
    </row>
    <row r="385" spans="1:16" ht="79.5" customHeight="1">
      <c r="A385" s="47">
        <v>261</v>
      </c>
      <c r="B385" s="11"/>
      <c r="C385" s="34" t="s">
        <v>801</v>
      </c>
      <c r="D385" s="15" t="s">
        <v>800</v>
      </c>
      <c r="E385" s="29">
        <v>52.1</v>
      </c>
      <c r="F385" s="29"/>
      <c r="G385" s="30" t="s">
        <v>1927</v>
      </c>
      <c r="H385" s="29"/>
      <c r="I385" s="29"/>
      <c r="J385" s="30" t="s">
        <v>1328</v>
      </c>
      <c r="K385" s="15" t="s">
        <v>863</v>
      </c>
      <c r="L385" s="31">
        <v>40479</v>
      </c>
      <c r="M385" s="29" t="s">
        <v>1934</v>
      </c>
      <c r="N385" s="14" t="s">
        <v>511</v>
      </c>
      <c r="O385" s="29">
        <v>1</v>
      </c>
      <c r="P385" s="79">
        <f>72202.23</f>
        <v>72202.23</v>
      </c>
    </row>
    <row r="386" spans="1:16" ht="47.25">
      <c r="A386" s="11">
        <v>262</v>
      </c>
      <c r="B386" s="11"/>
      <c r="C386" s="34" t="s">
        <v>799</v>
      </c>
      <c r="D386" s="15" t="s">
        <v>798</v>
      </c>
      <c r="E386" s="29">
        <v>41.6</v>
      </c>
      <c r="F386" s="29"/>
      <c r="G386" s="30" t="s">
        <v>1928</v>
      </c>
      <c r="H386" s="29"/>
      <c r="I386" s="29"/>
      <c r="J386" s="30" t="s">
        <v>1328</v>
      </c>
      <c r="K386" s="15" t="s">
        <v>864</v>
      </c>
      <c r="L386" s="31">
        <v>40478</v>
      </c>
      <c r="M386" s="29" t="s">
        <v>1934</v>
      </c>
      <c r="N386" s="14" t="s">
        <v>843</v>
      </c>
      <c r="O386" s="29">
        <v>1</v>
      </c>
      <c r="P386" s="79">
        <f>57544.64</f>
        <v>57544.64</v>
      </c>
    </row>
    <row r="387" spans="1:16" ht="36" customHeight="1">
      <c r="A387" s="11">
        <v>263</v>
      </c>
      <c r="B387" s="11"/>
      <c r="C387" s="34" t="s">
        <v>797</v>
      </c>
      <c r="D387" s="15" t="s">
        <v>796</v>
      </c>
      <c r="E387" s="29">
        <v>52.2</v>
      </c>
      <c r="F387" s="29"/>
      <c r="G387" s="30" t="s">
        <v>1872</v>
      </c>
      <c r="H387" s="29"/>
      <c r="I387" s="29"/>
      <c r="J387" s="30" t="s">
        <v>1328</v>
      </c>
      <c r="K387" s="25" t="s">
        <v>1873</v>
      </c>
      <c r="L387" s="31">
        <v>42607</v>
      </c>
      <c r="M387" s="29" t="s">
        <v>1934</v>
      </c>
      <c r="N387" s="27" t="s">
        <v>1874</v>
      </c>
      <c r="O387" s="29">
        <v>1</v>
      </c>
      <c r="P387" s="79">
        <f>327000</f>
        <v>327000</v>
      </c>
    </row>
    <row r="388" spans="1:16" ht="31.5">
      <c r="A388" s="11">
        <v>264</v>
      </c>
      <c r="B388" s="11"/>
      <c r="C388" s="34" t="s">
        <v>884</v>
      </c>
      <c r="D388" s="15" t="s">
        <v>883</v>
      </c>
      <c r="E388" s="29">
        <v>54.9</v>
      </c>
      <c r="F388" s="29"/>
      <c r="G388" s="30" t="s">
        <v>1651</v>
      </c>
      <c r="H388" s="29"/>
      <c r="I388" s="29"/>
      <c r="J388" s="30" t="s">
        <v>1325</v>
      </c>
      <c r="K388" s="15" t="s">
        <v>885</v>
      </c>
      <c r="L388" s="31">
        <v>41855</v>
      </c>
      <c r="M388" s="29" t="s">
        <v>1934</v>
      </c>
      <c r="N388" s="27" t="s">
        <v>1652</v>
      </c>
      <c r="O388" s="29">
        <v>1</v>
      </c>
      <c r="P388" s="79">
        <f>353000</f>
        <v>353000</v>
      </c>
    </row>
    <row r="389" spans="1:16" ht="31.5">
      <c r="A389" s="11">
        <v>265</v>
      </c>
      <c r="B389" s="11"/>
      <c r="C389" s="34" t="s">
        <v>882</v>
      </c>
      <c r="D389" s="15" t="s">
        <v>881</v>
      </c>
      <c r="E389" s="29">
        <v>60</v>
      </c>
      <c r="F389" s="29"/>
      <c r="G389" s="30" t="s">
        <v>1653</v>
      </c>
      <c r="H389" s="29"/>
      <c r="I389" s="29"/>
      <c r="J389" s="30" t="s">
        <v>1325</v>
      </c>
      <c r="K389" s="15" t="s">
        <v>886</v>
      </c>
      <c r="L389" s="31">
        <v>41855</v>
      </c>
      <c r="M389" s="29" t="s">
        <v>1934</v>
      </c>
      <c r="N389" s="27" t="s">
        <v>1654</v>
      </c>
      <c r="O389" s="29">
        <v>1</v>
      </c>
      <c r="P389" s="79">
        <f>386000</f>
        <v>386000</v>
      </c>
    </row>
    <row r="390" spans="1:16" ht="31.5">
      <c r="A390" s="11">
        <v>266</v>
      </c>
      <c r="B390" s="11"/>
      <c r="C390" s="34" t="s">
        <v>880</v>
      </c>
      <c r="D390" s="15" t="s">
        <v>879</v>
      </c>
      <c r="E390" s="29">
        <v>28.6</v>
      </c>
      <c r="F390" s="29"/>
      <c r="G390" s="30" t="s">
        <v>1655</v>
      </c>
      <c r="H390" s="29"/>
      <c r="I390" s="29"/>
      <c r="J390" s="30" t="s">
        <v>1325</v>
      </c>
      <c r="K390" s="15" t="s">
        <v>887</v>
      </c>
      <c r="L390" s="31">
        <v>41900</v>
      </c>
      <c r="M390" s="29" t="s">
        <v>1934</v>
      </c>
      <c r="N390" s="27" t="s">
        <v>1656</v>
      </c>
      <c r="O390" s="29">
        <v>1</v>
      </c>
      <c r="P390" s="79">
        <f>182000</f>
        <v>182000</v>
      </c>
    </row>
    <row r="391" spans="1:16" ht="24" customHeight="1">
      <c r="A391" s="11">
        <v>267</v>
      </c>
      <c r="B391" s="11"/>
      <c r="C391" s="34" t="s">
        <v>878</v>
      </c>
      <c r="D391" s="15" t="s">
        <v>877</v>
      </c>
      <c r="E391" s="29">
        <v>28.9</v>
      </c>
      <c r="F391" s="29"/>
      <c r="G391" s="30" t="s">
        <v>1657</v>
      </c>
      <c r="H391" s="29"/>
      <c r="I391" s="29"/>
      <c r="J391" s="30" t="s">
        <v>1325</v>
      </c>
      <c r="K391" s="15" t="s">
        <v>888</v>
      </c>
      <c r="L391" s="31">
        <v>41855</v>
      </c>
      <c r="M391" s="29" t="s">
        <v>1934</v>
      </c>
      <c r="N391" s="27" t="s">
        <v>1658</v>
      </c>
      <c r="O391" s="29">
        <v>1</v>
      </c>
      <c r="P391" s="79">
        <f>186000</f>
        <v>186000</v>
      </c>
    </row>
    <row r="392" spans="1:16" ht="31.5">
      <c r="A392" s="11">
        <v>268</v>
      </c>
      <c r="B392" s="11"/>
      <c r="C392" s="34" t="s">
        <v>876</v>
      </c>
      <c r="D392" s="15" t="s">
        <v>875</v>
      </c>
      <c r="E392" s="29">
        <v>26.9</v>
      </c>
      <c r="F392" s="29"/>
      <c r="G392" s="30" t="s">
        <v>1659</v>
      </c>
      <c r="H392" s="29"/>
      <c r="I392" s="29"/>
      <c r="J392" s="30" t="s">
        <v>1325</v>
      </c>
      <c r="K392" s="15" t="s">
        <v>889</v>
      </c>
      <c r="L392" s="31">
        <v>41855</v>
      </c>
      <c r="M392" s="29" t="s">
        <v>1934</v>
      </c>
      <c r="N392" s="27" t="s">
        <v>1660</v>
      </c>
      <c r="O392" s="29">
        <v>1</v>
      </c>
      <c r="P392" s="79">
        <f>173000</f>
        <v>173000</v>
      </c>
    </row>
    <row r="393" spans="1:16" ht="31.5">
      <c r="A393" s="11">
        <v>269</v>
      </c>
      <c r="B393" s="11"/>
      <c r="C393" s="34" t="s">
        <v>874</v>
      </c>
      <c r="D393" s="15" t="s">
        <v>873</v>
      </c>
      <c r="E393" s="29">
        <v>26.5</v>
      </c>
      <c r="F393" s="29"/>
      <c r="G393" s="30" t="s">
        <v>1661</v>
      </c>
      <c r="H393" s="29"/>
      <c r="I393" s="29"/>
      <c r="J393" s="30" t="s">
        <v>1325</v>
      </c>
      <c r="K393" s="15" t="s">
        <v>890</v>
      </c>
      <c r="L393" s="31">
        <v>41855</v>
      </c>
      <c r="M393" s="29" t="s">
        <v>1934</v>
      </c>
      <c r="N393" s="27" t="s">
        <v>1656</v>
      </c>
      <c r="O393" s="29">
        <v>1</v>
      </c>
      <c r="P393" s="79">
        <f>171000</f>
        <v>171000</v>
      </c>
    </row>
    <row r="394" spans="1:16" ht="81.75" customHeight="1">
      <c r="A394" s="11">
        <v>270</v>
      </c>
      <c r="B394" s="11"/>
      <c r="C394" s="34" t="s">
        <v>872</v>
      </c>
      <c r="D394" s="15" t="s">
        <v>871</v>
      </c>
      <c r="E394" s="29">
        <v>61.8</v>
      </c>
      <c r="F394" s="29"/>
      <c r="G394" s="30" t="s">
        <v>1702</v>
      </c>
      <c r="H394" s="29"/>
      <c r="I394" s="29"/>
      <c r="J394" s="30" t="s">
        <v>1326</v>
      </c>
      <c r="K394" s="15" t="s">
        <v>891</v>
      </c>
      <c r="L394" s="31">
        <v>40746</v>
      </c>
      <c r="M394" s="29" t="s">
        <v>1934</v>
      </c>
      <c r="N394" s="14" t="s">
        <v>511</v>
      </c>
      <c r="O394" s="29">
        <v>1</v>
      </c>
      <c r="P394" s="79">
        <f>37026.58</f>
        <v>37026.58</v>
      </c>
    </row>
    <row r="395" spans="1:16" ht="94.5">
      <c r="A395" s="11">
        <v>271</v>
      </c>
      <c r="B395" s="11"/>
      <c r="C395" s="34" t="s">
        <v>870</v>
      </c>
      <c r="D395" s="15" t="s">
        <v>869</v>
      </c>
      <c r="E395" s="29">
        <v>63.4</v>
      </c>
      <c r="F395" s="29"/>
      <c r="G395" s="30" t="s">
        <v>1703</v>
      </c>
      <c r="H395" s="29"/>
      <c r="I395" s="29"/>
      <c r="J395" s="30" t="s">
        <v>1326</v>
      </c>
      <c r="K395" s="15" t="s">
        <v>892</v>
      </c>
      <c r="L395" s="31">
        <v>40743</v>
      </c>
      <c r="M395" s="29" t="s">
        <v>1934</v>
      </c>
      <c r="N395" s="14" t="s">
        <v>511</v>
      </c>
      <c r="O395" s="29">
        <v>1</v>
      </c>
      <c r="P395" s="79">
        <f>38260.79</f>
        <v>38260.79</v>
      </c>
    </row>
    <row r="396" spans="1:16" ht="15.75">
      <c r="A396" s="11">
        <v>272</v>
      </c>
      <c r="B396" s="11"/>
      <c r="C396" s="34" t="s">
        <v>868</v>
      </c>
      <c r="D396" s="15" t="s">
        <v>867</v>
      </c>
      <c r="E396" s="29">
        <v>43.2</v>
      </c>
      <c r="F396" s="29"/>
      <c r="G396" s="30" t="s">
        <v>1686</v>
      </c>
      <c r="H396" s="29"/>
      <c r="I396" s="29"/>
      <c r="J396" s="30" t="s">
        <v>1326</v>
      </c>
      <c r="K396" s="15" t="s">
        <v>893</v>
      </c>
      <c r="L396" s="31">
        <v>41852</v>
      </c>
      <c r="M396" s="29" t="s">
        <v>1934</v>
      </c>
      <c r="N396" s="27" t="s">
        <v>1652</v>
      </c>
      <c r="O396" s="29">
        <v>1</v>
      </c>
      <c r="P396" s="79">
        <f>354000</f>
        <v>354000</v>
      </c>
    </row>
    <row r="397" spans="1:16" ht="47.25">
      <c r="A397" s="11">
        <v>273</v>
      </c>
      <c r="B397" s="11"/>
      <c r="C397" s="36" t="s">
        <v>2551</v>
      </c>
      <c r="D397" s="25" t="s">
        <v>2552</v>
      </c>
      <c r="E397" s="29">
        <v>41.1</v>
      </c>
      <c r="F397" s="29"/>
      <c r="G397" s="30" t="s">
        <v>2553</v>
      </c>
      <c r="H397" s="29"/>
      <c r="I397" s="29"/>
      <c r="J397" s="16" t="s">
        <v>1324</v>
      </c>
      <c r="K397" s="30" t="s">
        <v>2554</v>
      </c>
      <c r="L397" s="31">
        <v>44288</v>
      </c>
      <c r="M397" s="29" t="s">
        <v>1934</v>
      </c>
      <c r="N397" s="27" t="s">
        <v>2555</v>
      </c>
      <c r="O397" s="29">
        <v>1</v>
      </c>
      <c r="P397" s="79">
        <v>48000</v>
      </c>
    </row>
    <row r="398" spans="1:16" ht="94.5">
      <c r="A398" s="11">
        <v>274</v>
      </c>
      <c r="B398" s="11"/>
      <c r="C398" s="34" t="s">
        <v>866</v>
      </c>
      <c r="D398" s="15" t="s">
        <v>865</v>
      </c>
      <c r="E398" s="29">
        <v>51.7</v>
      </c>
      <c r="F398" s="29"/>
      <c r="G398" s="30" t="s">
        <v>1723</v>
      </c>
      <c r="H398" s="29"/>
      <c r="I398" s="29"/>
      <c r="J398" s="16" t="s">
        <v>1324</v>
      </c>
      <c r="K398" s="15" t="s">
        <v>894</v>
      </c>
      <c r="L398" s="31">
        <v>40407</v>
      </c>
      <c r="M398" s="29" t="s">
        <v>1934</v>
      </c>
      <c r="N398" s="14" t="s">
        <v>511</v>
      </c>
      <c r="O398" s="29">
        <v>1</v>
      </c>
      <c r="P398" s="79">
        <f>28045.92</f>
        <v>28045.92</v>
      </c>
    </row>
    <row r="399" spans="1:16" ht="47.25">
      <c r="A399" s="11">
        <v>275</v>
      </c>
      <c r="B399" s="11"/>
      <c r="C399" s="34" t="s">
        <v>930</v>
      </c>
      <c r="D399" s="15" t="s">
        <v>929</v>
      </c>
      <c r="E399" s="29">
        <v>68.2</v>
      </c>
      <c r="F399" s="29"/>
      <c r="G399" s="29" t="s">
        <v>932</v>
      </c>
      <c r="H399" s="29"/>
      <c r="I399" s="29"/>
      <c r="J399" s="16" t="s">
        <v>1324</v>
      </c>
      <c r="K399" s="15" t="s">
        <v>933</v>
      </c>
      <c r="L399" s="31">
        <v>41614</v>
      </c>
      <c r="M399" s="29" t="s">
        <v>1934</v>
      </c>
      <c r="N399" s="14" t="s">
        <v>931</v>
      </c>
      <c r="O399" s="29">
        <v>1</v>
      </c>
      <c r="P399" s="79">
        <f>2853175</f>
        <v>2853175</v>
      </c>
    </row>
    <row r="400" spans="1:16" ht="31.5">
      <c r="A400" s="11">
        <v>276</v>
      </c>
      <c r="B400" s="11"/>
      <c r="C400" s="34" t="s">
        <v>928</v>
      </c>
      <c r="D400" s="15" t="s">
        <v>927</v>
      </c>
      <c r="E400" s="29">
        <v>56</v>
      </c>
      <c r="F400" s="29"/>
      <c r="G400" s="30" t="s">
        <v>1729</v>
      </c>
      <c r="H400" s="29"/>
      <c r="I400" s="29"/>
      <c r="J400" s="16" t="s">
        <v>1324</v>
      </c>
      <c r="K400" s="15" t="s">
        <v>934</v>
      </c>
      <c r="L400" s="31">
        <v>40381</v>
      </c>
      <c r="M400" s="29" t="s">
        <v>1934</v>
      </c>
      <c r="N400" s="27" t="s">
        <v>1730</v>
      </c>
      <c r="O400" s="29">
        <v>1</v>
      </c>
      <c r="P400" s="79">
        <f>7596.96</f>
        <v>7596.96</v>
      </c>
    </row>
    <row r="401" spans="1:16" ht="31.5">
      <c r="A401" s="11">
        <v>277</v>
      </c>
      <c r="B401" s="11"/>
      <c r="C401" s="34" t="s">
        <v>926</v>
      </c>
      <c r="D401" s="15" t="s">
        <v>925</v>
      </c>
      <c r="E401" s="29">
        <v>58.1</v>
      </c>
      <c r="F401" s="29"/>
      <c r="G401" s="30" t="s">
        <v>1731</v>
      </c>
      <c r="H401" s="29"/>
      <c r="I401" s="29"/>
      <c r="J401" s="16" t="s">
        <v>1324</v>
      </c>
      <c r="K401" s="15" t="s">
        <v>935</v>
      </c>
      <c r="L401" s="31">
        <v>39766</v>
      </c>
      <c r="M401" s="29" t="s">
        <v>1934</v>
      </c>
      <c r="N401" s="27" t="s">
        <v>1732</v>
      </c>
      <c r="O401" s="29">
        <v>1</v>
      </c>
      <c r="P401" s="79">
        <f>124111</f>
        <v>124111</v>
      </c>
    </row>
    <row r="402" spans="1:16" ht="31.5">
      <c r="A402" s="11">
        <v>278</v>
      </c>
      <c r="B402" s="11"/>
      <c r="C402" s="34" t="s">
        <v>924</v>
      </c>
      <c r="D402" s="15" t="s">
        <v>923</v>
      </c>
      <c r="E402" s="29">
        <v>57.7</v>
      </c>
      <c r="F402" s="29"/>
      <c r="G402" s="30" t="s">
        <v>1733</v>
      </c>
      <c r="H402" s="29"/>
      <c r="I402" s="29"/>
      <c r="J402" s="16" t="s">
        <v>1324</v>
      </c>
      <c r="K402" s="15" t="s">
        <v>936</v>
      </c>
      <c r="L402" s="31">
        <v>41120</v>
      </c>
      <c r="M402" s="29" t="s">
        <v>1934</v>
      </c>
      <c r="N402" s="27" t="s">
        <v>1734</v>
      </c>
      <c r="O402" s="29">
        <v>1</v>
      </c>
      <c r="P402" s="79">
        <f>338295</f>
        <v>338295</v>
      </c>
    </row>
    <row r="403" spans="1:16" ht="47.25">
      <c r="A403" s="7">
        <v>279</v>
      </c>
      <c r="B403" s="11"/>
      <c r="C403" s="34" t="s">
        <v>922</v>
      </c>
      <c r="D403" s="15" t="s">
        <v>921</v>
      </c>
      <c r="E403" s="29">
        <v>33</v>
      </c>
      <c r="F403" s="29"/>
      <c r="G403" s="30" t="s">
        <v>1735</v>
      </c>
      <c r="H403" s="29"/>
      <c r="I403" s="29"/>
      <c r="J403" s="16" t="s">
        <v>1324</v>
      </c>
      <c r="K403" s="15" t="s">
        <v>937</v>
      </c>
      <c r="L403" s="31">
        <v>40926</v>
      </c>
      <c r="M403" s="29" t="s">
        <v>1934</v>
      </c>
      <c r="N403" s="27" t="s">
        <v>1736</v>
      </c>
      <c r="O403" s="29">
        <v>1</v>
      </c>
      <c r="P403" s="79">
        <f>91039</f>
        <v>91039</v>
      </c>
    </row>
    <row r="404" spans="1:16" ht="31.5">
      <c r="A404" s="39">
        <v>280</v>
      </c>
      <c r="B404" s="11"/>
      <c r="C404" s="34" t="s">
        <v>920</v>
      </c>
      <c r="D404" s="15" t="s">
        <v>919</v>
      </c>
      <c r="E404" s="29">
        <v>32.8</v>
      </c>
      <c r="F404" s="29"/>
      <c r="G404" s="30" t="s">
        <v>1737</v>
      </c>
      <c r="H404" s="29"/>
      <c r="I404" s="29"/>
      <c r="J404" s="16" t="s">
        <v>1324</v>
      </c>
      <c r="K404" s="15" t="s">
        <v>938</v>
      </c>
      <c r="L404" s="31">
        <v>41618</v>
      </c>
      <c r="M404" s="29" t="s">
        <v>1934</v>
      </c>
      <c r="N404" s="27" t="s">
        <v>1738</v>
      </c>
      <c r="O404" s="29">
        <v>1</v>
      </c>
      <c r="P404" s="79">
        <f>565000</f>
        <v>565000</v>
      </c>
    </row>
    <row r="405" spans="1:16" ht="78.75">
      <c r="A405" s="11">
        <v>281</v>
      </c>
      <c r="B405" s="11"/>
      <c r="C405" s="36" t="s">
        <v>2153</v>
      </c>
      <c r="D405" s="25" t="s">
        <v>2154</v>
      </c>
      <c r="E405" s="29">
        <v>55.7</v>
      </c>
      <c r="F405" s="29"/>
      <c r="G405" s="29" t="s">
        <v>2155</v>
      </c>
      <c r="H405" s="29"/>
      <c r="I405" s="29"/>
      <c r="J405" s="30" t="s">
        <v>1326</v>
      </c>
      <c r="K405" s="30" t="s">
        <v>2354</v>
      </c>
      <c r="L405" s="31">
        <v>43745</v>
      </c>
      <c r="M405" s="29" t="s">
        <v>1934</v>
      </c>
      <c r="N405" s="27" t="s">
        <v>2156</v>
      </c>
      <c r="O405" s="29">
        <v>1</v>
      </c>
      <c r="P405" s="79">
        <v>3199680</v>
      </c>
    </row>
    <row r="406" spans="1:16" ht="78.75">
      <c r="A406" s="11">
        <v>282</v>
      </c>
      <c r="B406" s="11"/>
      <c r="C406" s="36" t="s">
        <v>2157</v>
      </c>
      <c r="D406" s="25" t="s">
        <v>2158</v>
      </c>
      <c r="E406" s="29">
        <v>39</v>
      </c>
      <c r="F406" s="29"/>
      <c r="G406" s="29" t="s">
        <v>2159</v>
      </c>
      <c r="H406" s="29"/>
      <c r="I406" s="29"/>
      <c r="J406" s="30" t="s">
        <v>1326</v>
      </c>
      <c r="K406" s="30" t="s">
        <v>2355</v>
      </c>
      <c r="L406" s="31">
        <v>43742</v>
      </c>
      <c r="M406" s="29" t="s">
        <v>1934</v>
      </c>
      <c r="N406" s="27" t="s">
        <v>2156</v>
      </c>
      <c r="O406" s="29">
        <v>1</v>
      </c>
      <c r="P406" s="79">
        <v>2268864</v>
      </c>
    </row>
    <row r="407" spans="1:16" ht="94.5">
      <c r="A407" s="7">
        <v>283</v>
      </c>
      <c r="B407" s="11"/>
      <c r="C407" s="34" t="s">
        <v>918</v>
      </c>
      <c r="D407" s="15" t="s">
        <v>917</v>
      </c>
      <c r="E407" s="29">
        <v>65.6</v>
      </c>
      <c r="F407" s="29"/>
      <c r="G407" s="30" t="s">
        <v>1704</v>
      </c>
      <c r="H407" s="29"/>
      <c r="I407" s="29"/>
      <c r="J407" s="30" t="s">
        <v>1326</v>
      </c>
      <c r="K407" s="15" t="s">
        <v>939</v>
      </c>
      <c r="L407" s="31">
        <v>41234</v>
      </c>
      <c r="M407" s="29" t="s">
        <v>1934</v>
      </c>
      <c r="N407" s="14" t="s">
        <v>496</v>
      </c>
      <c r="O407" s="29">
        <v>1</v>
      </c>
      <c r="P407" s="79">
        <f>55386</f>
        <v>55386</v>
      </c>
    </row>
    <row r="408" spans="1:16" ht="15.75">
      <c r="A408" s="39">
        <v>284</v>
      </c>
      <c r="B408" s="11"/>
      <c r="C408" s="34" t="s">
        <v>916</v>
      </c>
      <c r="D408" s="15" t="s">
        <v>915</v>
      </c>
      <c r="E408" s="29">
        <v>34.3</v>
      </c>
      <c r="F408" s="29"/>
      <c r="G408" s="29" t="s">
        <v>1700</v>
      </c>
      <c r="H408" s="29"/>
      <c r="I408" s="29"/>
      <c r="J408" s="30" t="s">
        <v>1326</v>
      </c>
      <c r="K408" s="15" t="s">
        <v>940</v>
      </c>
      <c r="L408" s="31">
        <v>41852</v>
      </c>
      <c r="M408" s="29" t="s">
        <v>1934</v>
      </c>
      <c r="N408" s="27" t="s">
        <v>1701</v>
      </c>
      <c r="O408" s="29">
        <v>1</v>
      </c>
      <c r="P408" s="79">
        <f>332000</f>
        <v>332000</v>
      </c>
    </row>
    <row r="409" spans="1:16" ht="47.25">
      <c r="A409" s="11">
        <v>285</v>
      </c>
      <c r="B409" s="11"/>
      <c r="C409" s="34" t="s">
        <v>914</v>
      </c>
      <c r="D409" s="15" t="s">
        <v>913</v>
      </c>
      <c r="E409" s="29">
        <v>35.3</v>
      </c>
      <c r="F409" s="29"/>
      <c r="G409" s="29" t="s">
        <v>1689</v>
      </c>
      <c r="H409" s="29"/>
      <c r="I409" s="29"/>
      <c r="J409" s="30" t="s">
        <v>1326</v>
      </c>
      <c r="K409" s="15" t="s">
        <v>941</v>
      </c>
      <c r="L409" s="31">
        <v>42044</v>
      </c>
      <c r="M409" s="29" t="s">
        <v>1934</v>
      </c>
      <c r="N409" s="27" t="s">
        <v>1690</v>
      </c>
      <c r="O409" s="29">
        <v>1</v>
      </c>
      <c r="P409" s="79">
        <f>547000</f>
        <v>547000</v>
      </c>
    </row>
    <row r="410" spans="1:16" ht="47.25">
      <c r="A410" s="39">
        <v>286</v>
      </c>
      <c r="B410" s="11"/>
      <c r="C410" s="34" t="s">
        <v>912</v>
      </c>
      <c r="D410" s="15" t="s">
        <v>911</v>
      </c>
      <c r="E410" s="29">
        <v>47.6</v>
      </c>
      <c r="F410" s="29"/>
      <c r="G410" s="29" t="s">
        <v>942</v>
      </c>
      <c r="H410" s="29"/>
      <c r="I410" s="29"/>
      <c r="J410" s="30" t="s">
        <v>1326</v>
      </c>
      <c r="K410" s="25" t="s">
        <v>1687</v>
      </c>
      <c r="L410" s="31">
        <v>42044</v>
      </c>
      <c r="M410" s="29" t="s">
        <v>1934</v>
      </c>
      <c r="N410" s="27" t="s">
        <v>1688</v>
      </c>
      <c r="O410" s="29">
        <v>1</v>
      </c>
      <c r="P410" s="79">
        <f>826000</f>
        <v>826000</v>
      </c>
    </row>
    <row r="411" spans="1:16" ht="47.25">
      <c r="A411" s="11">
        <v>287</v>
      </c>
      <c r="B411" s="11"/>
      <c r="C411" s="34" t="s">
        <v>910</v>
      </c>
      <c r="D411" s="15" t="s">
        <v>909</v>
      </c>
      <c r="E411" s="29">
        <v>55.3</v>
      </c>
      <c r="F411" s="29"/>
      <c r="G411" s="30" t="s">
        <v>1710</v>
      </c>
      <c r="H411" s="29"/>
      <c r="I411" s="29"/>
      <c r="J411" s="30" t="s">
        <v>1326</v>
      </c>
      <c r="K411" s="25" t="s">
        <v>2356</v>
      </c>
      <c r="L411" s="31">
        <v>42587</v>
      </c>
      <c r="M411" s="29" t="s">
        <v>1934</v>
      </c>
      <c r="N411" s="27" t="s">
        <v>1711</v>
      </c>
      <c r="O411" s="29">
        <v>1</v>
      </c>
      <c r="P411" s="79">
        <f>493000</f>
        <v>493000</v>
      </c>
    </row>
    <row r="412" spans="1:16" ht="47.25">
      <c r="A412" s="11">
        <v>288</v>
      </c>
      <c r="B412" s="11"/>
      <c r="C412" s="34" t="s">
        <v>908</v>
      </c>
      <c r="D412" s="15" t="s">
        <v>907</v>
      </c>
      <c r="E412" s="29">
        <v>51.4</v>
      </c>
      <c r="F412" s="29"/>
      <c r="G412" s="30" t="s">
        <v>1705</v>
      </c>
      <c r="H412" s="29"/>
      <c r="I412" s="29"/>
      <c r="J412" s="30" t="s">
        <v>1326</v>
      </c>
      <c r="K412" s="15" t="s">
        <v>943</v>
      </c>
      <c r="L412" s="31">
        <v>41160</v>
      </c>
      <c r="M412" s="29" t="s">
        <v>1934</v>
      </c>
      <c r="N412" s="27" t="s">
        <v>1706</v>
      </c>
      <c r="O412" s="29">
        <v>1</v>
      </c>
      <c r="P412" s="79">
        <f>1869252</f>
        <v>1869252</v>
      </c>
    </row>
    <row r="413" spans="1:16" ht="31.5">
      <c r="A413" s="11">
        <v>289</v>
      </c>
      <c r="B413" s="11"/>
      <c r="C413" s="34" t="s">
        <v>906</v>
      </c>
      <c r="D413" s="15" t="s">
        <v>905</v>
      </c>
      <c r="E413" s="29">
        <v>34.2</v>
      </c>
      <c r="F413" s="29"/>
      <c r="G413" s="30" t="s">
        <v>1887</v>
      </c>
      <c r="H413" s="29"/>
      <c r="I413" s="29"/>
      <c r="J413" s="30" t="s">
        <v>1326</v>
      </c>
      <c r="K413" s="15" t="s">
        <v>945</v>
      </c>
      <c r="L413" s="31">
        <v>41211</v>
      </c>
      <c r="M413" s="29" t="s">
        <v>1934</v>
      </c>
      <c r="N413" s="14" t="s">
        <v>944</v>
      </c>
      <c r="O413" s="29">
        <v>1</v>
      </c>
      <c r="P413" s="79">
        <f>1246168</f>
        <v>1246168</v>
      </c>
    </row>
    <row r="414" spans="1:16" ht="47.25">
      <c r="A414" s="11">
        <v>290</v>
      </c>
      <c r="B414" s="11"/>
      <c r="C414" s="34" t="s">
        <v>904</v>
      </c>
      <c r="D414" s="15" t="s">
        <v>903</v>
      </c>
      <c r="E414" s="29">
        <v>78.5</v>
      </c>
      <c r="F414" s="29"/>
      <c r="G414" s="29" t="s">
        <v>1691</v>
      </c>
      <c r="H414" s="29"/>
      <c r="I414" s="29"/>
      <c r="J414" s="30" t="s">
        <v>1326</v>
      </c>
      <c r="K414" s="30" t="s">
        <v>1692</v>
      </c>
      <c r="L414" s="31">
        <v>42978</v>
      </c>
      <c r="M414" s="29" t="s">
        <v>1934</v>
      </c>
      <c r="N414" s="27" t="s">
        <v>1712</v>
      </c>
      <c r="O414" s="29">
        <v>1</v>
      </c>
      <c r="P414" s="79">
        <f>4600518</f>
        <v>4600518</v>
      </c>
    </row>
    <row r="415" spans="1:16" ht="47.25">
      <c r="A415" s="11">
        <v>291</v>
      </c>
      <c r="B415" s="11"/>
      <c r="C415" s="34" t="s">
        <v>902</v>
      </c>
      <c r="D415" s="15" t="s">
        <v>901</v>
      </c>
      <c r="E415" s="29">
        <v>81.5</v>
      </c>
      <c r="F415" s="29"/>
      <c r="G415" s="29" t="s">
        <v>1695</v>
      </c>
      <c r="H415" s="29"/>
      <c r="I415" s="29"/>
      <c r="J415" s="30" t="s">
        <v>1326</v>
      </c>
      <c r="K415" s="30" t="s">
        <v>1696</v>
      </c>
      <c r="L415" s="31">
        <v>42746</v>
      </c>
      <c r="M415" s="29" t="s">
        <v>1934</v>
      </c>
      <c r="N415" s="27" t="s">
        <v>1697</v>
      </c>
      <c r="O415" s="29">
        <v>1</v>
      </c>
      <c r="P415" s="79">
        <f>4673214</f>
        <v>4673214</v>
      </c>
    </row>
    <row r="416" spans="1:16" ht="47.25">
      <c r="A416" s="11">
        <v>292</v>
      </c>
      <c r="B416" s="11"/>
      <c r="C416" s="34" t="s">
        <v>900</v>
      </c>
      <c r="D416" s="15" t="s">
        <v>899</v>
      </c>
      <c r="E416" s="29">
        <v>68.9</v>
      </c>
      <c r="F416" s="29"/>
      <c r="G416" s="29" t="s">
        <v>1698</v>
      </c>
      <c r="H416" s="29"/>
      <c r="I416" s="29"/>
      <c r="J416" s="30" t="s">
        <v>1326</v>
      </c>
      <c r="K416" s="30" t="s">
        <v>1699</v>
      </c>
      <c r="L416" s="31">
        <v>42746</v>
      </c>
      <c r="M416" s="29" t="s">
        <v>1934</v>
      </c>
      <c r="N416" s="27" t="s">
        <v>1697</v>
      </c>
      <c r="O416" s="29">
        <v>1</v>
      </c>
      <c r="P416" s="79">
        <f>3923192</f>
        <v>3923192</v>
      </c>
    </row>
    <row r="417" spans="1:16" ht="47.25">
      <c r="A417" s="11">
        <v>293</v>
      </c>
      <c r="B417" s="11"/>
      <c r="C417" s="34" t="s">
        <v>898</v>
      </c>
      <c r="D417" s="15" t="s">
        <v>897</v>
      </c>
      <c r="E417" s="29">
        <v>68.5</v>
      </c>
      <c r="F417" s="29"/>
      <c r="G417" s="29" t="s">
        <v>947</v>
      </c>
      <c r="H417" s="29"/>
      <c r="I417" s="29"/>
      <c r="J417" s="16" t="s">
        <v>1324</v>
      </c>
      <c r="K417" s="15" t="s">
        <v>948</v>
      </c>
      <c r="L417" s="31">
        <v>41612</v>
      </c>
      <c r="M417" s="29" t="s">
        <v>1934</v>
      </c>
      <c r="N417" s="14" t="s">
        <v>946</v>
      </c>
      <c r="O417" s="29">
        <v>1</v>
      </c>
      <c r="P417" s="79">
        <f>2897070</f>
        <v>2897070</v>
      </c>
    </row>
    <row r="418" spans="1:16" ht="47.25">
      <c r="A418" s="11">
        <v>294</v>
      </c>
      <c r="B418" s="11"/>
      <c r="C418" s="36" t="s">
        <v>2215</v>
      </c>
      <c r="D418" s="25" t="s">
        <v>2216</v>
      </c>
      <c r="E418" s="29">
        <v>75.8</v>
      </c>
      <c r="F418" s="29"/>
      <c r="G418" s="29" t="s">
        <v>2217</v>
      </c>
      <c r="H418" s="29"/>
      <c r="I418" s="29"/>
      <c r="J418" s="16" t="s">
        <v>1324</v>
      </c>
      <c r="K418" s="30" t="s">
        <v>2218</v>
      </c>
      <c r="L418" s="31">
        <v>43843</v>
      </c>
      <c r="M418" s="29" t="s">
        <v>1934</v>
      </c>
      <c r="N418" s="27" t="s">
        <v>2219</v>
      </c>
      <c r="O418" s="29">
        <v>1</v>
      </c>
      <c r="P418" s="79">
        <v>4363200</v>
      </c>
    </row>
    <row r="419" spans="1:16" ht="47.25">
      <c r="A419" s="11">
        <v>295</v>
      </c>
      <c r="B419" s="11"/>
      <c r="C419" s="36" t="s">
        <v>2160</v>
      </c>
      <c r="D419" s="25" t="s">
        <v>2161</v>
      </c>
      <c r="E419" s="29">
        <v>55.8</v>
      </c>
      <c r="F419" s="29"/>
      <c r="G419" s="29" t="s">
        <v>2162</v>
      </c>
      <c r="H419" s="29"/>
      <c r="I419" s="29"/>
      <c r="J419" s="16" t="s">
        <v>1324</v>
      </c>
      <c r="K419" s="30" t="s">
        <v>2163</v>
      </c>
      <c r="L419" s="31">
        <v>43809</v>
      </c>
      <c r="M419" s="29" t="s">
        <v>1934</v>
      </c>
      <c r="N419" s="27" t="s">
        <v>2164</v>
      </c>
      <c r="O419" s="29">
        <v>1</v>
      </c>
      <c r="P419" s="79">
        <v>3199680</v>
      </c>
    </row>
    <row r="420" spans="1:16" ht="47.25">
      <c r="A420" s="7">
        <v>296</v>
      </c>
      <c r="B420" s="11"/>
      <c r="C420" s="34" t="s">
        <v>896</v>
      </c>
      <c r="D420" s="15" t="s">
        <v>895</v>
      </c>
      <c r="E420" s="29">
        <v>56.8</v>
      </c>
      <c r="F420" s="29"/>
      <c r="G420" s="30" t="s">
        <v>1739</v>
      </c>
      <c r="H420" s="29"/>
      <c r="I420" s="29"/>
      <c r="J420" s="16" t="s">
        <v>1324</v>
      </c>
      <c r="K420" s="15" t="s">
        <v>949</v>
      </c>
      <c r="L420" s="31">
        <v>39006</v>
      </c>
      <c r="M420" s="29" t="s">
        <v>1934</v>
      </c>
      <c r="N420" s="27" t="s">
        <v>1740</v>
      </c>
      <c r="O420" s="29">
        <v>1</v>
      </c>
      <c r="P420" s="79">
        <f>106800</f>
        <v>106800</v>
      </c>
    </row>
    <row r="421" spans="1:16" ht="94.5">
      <c r="A421" s="11">
        <v>297</v>
      </c>
      <c r="B421" s="11"/>
      <c r="C421" s="34" t="s">
        <v>983</v>
      </c>
      <c r="D421" s="15" t="s">
        <v>982</v>
      </c>
      <c r="E421" s="29">
        <v>53</v>
      </c>
      <c r="F421" s="29"/>
      <c r="G421" s="29"/>
      <c r="H421" s="29"/>
      <c r="I421" s="29"/>
      <c r="J421" s="30" t="s">
        <v>1325</v>
      </c>
      <c r="K421" s="15"/>
      <c r="L421" s="31"/>
      <c r="M421" s="29" t="s">
        <v>1934</v>
      </c>
      <c r="N421" s="14" t="s">
        <v>496</v>
      </c>
      <c r="O421" s="29">
        <v>1</v>
      </c>
      <c r="P421" s="79">
        <f>147968</f>
        <v>147968</v>
      </c>
    </row>
    <row r="422" spans="1:16" ht="94.5">
      <c r="A422" s="11">
        <v>298</v>
      </c>
      <c r="B422" s="11"/>
      <c r="C422" s="34" t="s">
        <v>981</v>
      </c>
      <c r="D422" s="15" t="s">
        <v>980</v>
      </c>
      <c r="E422" s="29">
        <v>48.2</v>
      </c>
      <c r="F422" s="29"/>
      <c r="G422" s="30" t="s">
        <v>1892</v>
      </c>
      <c r="H422" s="29"/>
      <c r="I422" s="29"/>
      <c r="J422" s="30" t="s">
        <v>1325</v>
      </c>
      <c r="K422" s="15" t="s">
        <v>984</v>
      </c>
      <c r="L422" s="31">
        <v>41207</v>
      </c>
      <c r="M422" s="29" t="s">
        <v>1934</v>
      </c>
      <c r="N422" s="14" t="s">
        <v>496</v>
      </c>
      <c r="O422" s="29">
        <v>1</v>
      </c>
      <c r="P422" s="79">
        <f>96390.75</f>
        <v>96390.75</v>
      </c>
    </row>
    <row r="423" spans="1:16" ht="63">
      <c r="A423" s="11">
        <v>299</v>
      </c>
      <c r="B423" s="11"/>
      <c r="C423" s="36" t="s">
        <v>1972</v>
      </c>
      <c r="D423" s="25" t="s">
        <v>1973</v>
      </c>
      <c r="E423" s="29">
        <v>43.4</v>
      </c>
      <c r="F423" s="29"/>
      <c r="G423" s="30" t="s">
        <v>1974</v>
      </c>
      <c r="H423" s="29"/>
      <c r="I423" s="29"/>
      <c r="J423" s="30" t="s">
        <v>1328</v>
      </c>
      <c r="K423" s="30" t="s">
        <v>2357</v>
      </c>
      <c r="L423" s="31">
        <v>43381</v>
      </c>
      <c r="M423" s="29" t="s">
        <v>1934</v>
      </c>
      <c r="N423" s="27" t="s">
        <v>1975</v>
      </c>
      <c r="O423" s="29">
        <v>1</v>
      </c>
      <c r="P423" s="79">
        <v>237000</v>
      </c>
    </row>
    <row r="424" spans="1:16" ht="79.5" customHeight="1">
      <c r="A424" s="7">
        <v>300</v>
      </c>
      <c r="B424" s="11"/>
      <c r="C424" s="34" t="s">
        <v>979</v>
      </c>
      <c r="D424" s="15" t="s">
        <v>978</v>
      </c>
      <c r="E424" s="29">
        <v>42.8</v>
      </c>
      <c r="F424" s="29"/>
      <c r="G424" s="30" t="s">
        <v>1848</v>
      </c>
      <c r="H424" s="29"/>
      <c r="I424" s="29"/>
      <c r="J424" s="30" t="s">
        <v>1328</v>
      </c>
      <c r="K424" s="15" t="s">
        <v>985</v>
      </c>
      <c r="L424" s="31">
        <v>40443</v>
      </c>
      <c r="M424" s="29" t="s">
        <v>1934</v>
      </c>
      <c r="N424" s="14" t="s">
        <v>496</v>
      </c>
      <c r="O424" s="29">
        <v>1</v>
      </c>
      <c r="P424" s="79">
        <f>79575.01</f>
        <v>79575.01</v>
      </c>
    </row>
    <row r="425" spans="1:16" ht="47.25">
      <c r="A425" s="51">
        <v>301</v>
      </c>
      <c r="B425" s="11"/>
      <c r="C425" s="34" t="s">
        <v>977</v>
      </c>
      <c r="D425" s="15" t="s">
        <v>976</v>
      </c>
      <c r="E425" s="29">
        <v>44.6</v>
      </c>
      <c r="F425" s="29"/>
      <c r="G425" s="30" t="s">
        <v>1849</v>
      </c>
      <c r="H425" s="29"/>
      <c r="I425" s="29"/>
      <c r="J425" s="30" t="s">
        <v>1328</v>
      </c>
      <c r="K425" s="25" t="s">
        <v>1444</v>
      </c>
      <c r="L425" s="31">
        <v>41211</v>
      </c>
      <c r="M425" s="29" t="s">
        <v>1934</v>
      </c>
      <c r="N425" s="27" t="s">
        <v>1916</v>
      </c>
      <c r="O425" s="29">
        <v>1</v>
      </c>
      <c r="P425" s="79">
        <f>1103300</f>
        <v>1103300</v>
      </c>
    </row>
    <row r="426" spans="1:16" ht="47.25">
      <c r="A426" s="11">
        <v>302</v>
      </c>
      <c r="B426" s="11"/>
      <c r="C426" s="34" t="s">
        <v>975</v>
      </c>
      <c r="D426" s="15" t="s">
        <v>974</v>
      </c>
      <c r="E426" s="29">
        <v>56.9</v>
      </c>
      <c r="F426" s="29"/>
      <c r="G426" s="30" t="s">
        <v>1915</v>
      </c>
      <c r="H426" s="29"/>
      <c r="I426" s="29"/>
      <c r="J426" s="30" t="s">
        <v>1328</v>
      </c>
      <c r="K426" s="15" t="s">
        <v>986</v>
      </c>
      <c r="L426" s="31">
        <v>41211</v>
      </c>
      <c r="M426" s="29" t="s">
        <v>1934</v>
      </c>
      <c r="N426" s="27" t="s">
        <v>1917</v>
      </c>
      <c r="O426" s="29">
        <v>1</v>
      </c>
      <c r="P426" s="79">
        <f>1369500</f>
        <v>1369500</v>
      </c>
    </row>
    <row r="427" spans="1:16" ht="47.25">
      <c r="A427" s="11">
        <v>303</v>
      </c>
      <c r="B427" s="11"/>
      <c r="C427" s="34" t="s">
        <v>973</v>
      </c>
      <c r="D427" s="15" t="s">
        <v>972</v>
      </c>
      <c r="E427" s="29">
        <v>57.6</v>
      </c>
      <c r="F427" s="29"/>
      <c r="G427" s="30" t="s">
        <v>1850</v>
      </c>
      <c r="H427" s="29"/>
      <c r="I427" s="29"/>
      <c r="J427" s="30" t="s">
        <v>1328</v>
      </c>
      <c r="K427" s="15" t="s">
        <v>987</v>
      </c>
      <c r="L427" s="31">
        <v>41211</v>
      </c>
      <c r="M427" s="29" t="s">
        <v>1934</v>
      </c>
      <c r="N427" s="27" t="s">
        <v>1917</v>
      </c>
      <c r="O427" s="29">
        <v>1</v>
      </c>
      <c r="P427" s="79">
        <f>1369500</f>
        <v>1369500</v>
      </c>
    </row>
    <row r="428" spans="1:16" ht="78.75" customHeight="1">
      <c r="A428" s="11">
        <v>304</v>
      </c>
      <c r="B428" s="11"/>
      <c r="C428" s="34" t="s">
        <v>971</v>
      </c>
      <c r="D428" s="15" t="s">
        <v>970</v>
      </c>
      <c r="E428" s="29">
        <v>45.1</v>
      </c>
      <c r="F428" s="29"/>
      <c r="G428" s="30" t="s">
        <v>1851</v>
      </c>
      <c r="H428" s="29"/>
      <c r="I428" s="29"/>
      <c r="J428" s="30" t="s">
        <v>1328</v>
      </c>
      <c r="K428" s="15" t="s">
        <v>989</v>
      </c>
      <c r="L428" s="31">
        <v>40442</v>
      </c>
      <c r="M428" s="29" t="s">
        <v>1934</v>
      </c>
      <c r="N428" s="14" t="s">
        <v>988</v>
      </c>
      <c r="O428" s="29">
        <v>1</v>
      </c>
      <c r="P428" s="79">
        <f>91028.3</f>
        <v>91028.3</v>
      </c>
    </row>
    <row r="429" spans="1:16" ht="31.5">
      <c r="A429" s="11">
        <v>305</v>
      </c>
      <c r="B429" s="11"/>
      <c r="C429" s="34" t="s">
        <v>969</v>
      </c>
      <c r="D429" s="15" t="s">
        <v>968</v>
      </c>
      <c r="E429" s="29">
        <v>54.4</v>
      </c>
      <c r="F429" s="29"/>
      <c r="G429" s="30" t="s">
        <v>1852</v>
      </c>
      <c r="H429" s="29"/>
      <c r="I429" s="29"/>
      <c r="J429" s="30" t="s">
        <v>1328</v>
      </c>
      <c r="K429" s="15" t="s">
        <v>991</v>
      </c>
      <c r="L429" s="31">
        <v>40470</v>
      </c>
      <c r="M429" s="29" t="s">
        <v>1934</v>
      </c>
      <c r="N429" s="14" t="s">
        <v>990</v>
      </c>
      <c r="O429" s="29">
        <v>1</v>
      </c>
      <c r="P429" s="79">
        <f>83440.83</f>
        <v>83440.83</v>
      </c>
    </row>
    <row r="430" spans="1:16" ht="31.5">
      <c r="A430" s="11">
        <v>306</v>
      </c>
      <c r="B430" s="11"/>
      <c r="C430" s="34" t="s">
        <v>967</v>
      </c>
      <c r="D430" s="15" t="s">
        <v>966</v>
      </c>
      <c r="E430" s="29">
        <v>50.1</v>
      </c>
      <c r="F430" s="29"/>
      <c r="G430" s="30" t="s">
        <v>1853</v>
      </c>
      <c r="H430" s="29"/>
      <c r="I430" s="29"/>
      <c r="J430" s="30" t="s">
        <v>1328</v>
      </c>
      <c r="K430" s="15" t="s">
        <v>992</v>
      </c>
      <c r="L430" s="31">
        <v>40791</v>
      </c>
      <c r="M430" s="29" t="s">
        <v>1934</v>
      </c>
      <c r="N430" s="27" t="s">
        <v>1854</v>
      </c>
      <c r="O430" s="29">
        <v>1</v>
      </c>
      <c r="P430" s="79">
        <f>384577</f>
        <v>384577</v>
      </c>
    </row>
    <row r="431" spans="1:16" ht="63">
      <c r="A431" s="11">
        <v>307</v>
      </c>
      <c r="B431" s="11"/>
      <c r="C431" s="34" t="s">
        <v>965</v>
      </c>
      <c r="D431" s="15" t="s">
        <v>964</v>
      </c>
      <c r="E431" s="29">
        <v>45</v>
      </c>
      <c r="F431" s="29"/>
      <c r="G431" s="30" t="s">
        <v>1855</v>
      </c>
      <c r="H431" s="29"/>
      <c r="I431" s="29"/>
      <c r="J431" s="30" t="s">
        <v>1328</v>
      </c>
      <c r="K431" s="15" t="s">
        <v>993</v>
      </c>
      <c r="L431" s="31" t="s">
        <v>996</v>
      </c>
      <c r="M431" s="29" t="s">
        <v>1934</v>
      </c>
      <c r="N431" s="14" t="s">
        <v>995</v>
      </c>
      <c r="O431" s="29">
        <v>1</v>
      </c>
      <c r="P431" s="79">
        <f>250053</f>
        <v>250053</v>
      </c>
    </row>
    <row r="432" spans="1:16" ht="47.25">
      <c r="A432" s="11">
        <v>308</v>
      </c>
      <c r="B432" s="11"/>
      <c r="C432" s="34" t="s">
        <v>963</v>
      </c>
      <c r="D432" s="15" t="s">
        <v>962</v>
      </c>
      <c r="E432" s="29">
        <v>45.3</v>
      </c>
      <c r="F432" s="29"/>
      <c r="G432" s="30" t="s">
        <v>1856</v>
      </c>
      <c r="H432" s="29"/>
      <c r="I432" s="29"/>
      <c r="J432" s="30" t="s">
        <v>1328</v>
      </c>
      <c r="K432" s="15" t="s">
        <v>997</v>
      </c>
      <c r="L432" s="31">
        <v>40189</v>
      </c>
      <c r="M432" s="29" t="s">
        <v>1934</v>
      </c>
      <c r="N432" s="14" t="s">
        <v>994</v>
      </c>
      <c r="O432" s="29">
        <v>1</v>
      </c>
      <c r="P432" s="79">
        <f>251720</f>
        <v>251720</v>
      </c>
    </row>
    <row r="433" spans="1:16" ht="84" customHeight="1">
      <c r="A433" s="11">
        <v>309</v>
      </c>
      <c r="B433" s="11"/>
      <c r="C433" s="34" t="s">
        <v>961</v>
      </c>
      <c r="D433" s="15" t="s">
        <v>960</v>
      </c>
      <c r="E433" s="29">
        <v>53.8</v>
      </c>
      <c r="F433" s="29"/>
      <c r="G433" s="30" t="s">
        <v>1857</v>
      </c>
      <c r="H433" s="29"/>
      <c r="I433" s="29"/>
      <c r="J433" s="30" t="s">
        <v>1328</v>
      </c>
      <c r="K433" s="15" t="s">
        <v>998</v>
      </c>
      <c r="L433" s="31">
        <v>40469</v>
      </c>
      <c r="M433" s="29" t="s">
        <v>1934</v>
      </c>
      <c r="N433" s="14" t="s">
        <v>988</v>
      </c>
      <c r="O433" s="29">
        <v>1</v>
      </c>
      <c r="P433" s="79">
        <f>76684.24</f>
        <v>76684.24</v>
      </c>
    </row>
    <row r="434" spans="1:16" ht="31.5">
      <c r="A434" s="11">
        <v>310</v>
      </c>
      <c r="B434" s="11"/>
      <c r="C434" s="34" t="s">
        <v>959</v>
      </c>
      <c r="D434" s="15" t="s">
        <v>958</v>
      </c>
      <c r="E434" s="29">
        <v>55.3</v>
      </c>
      <c r="F434" s="29"/>
      <c r="G434" s="30" t="s">
        <v>1858</v>
      </c>
      <c r="H434" s="29"/>
      <c r="I434" s="29"/>
      <c r="J434" s="30" t="s">
        <v>1328</v>
      </c>
      <c r="K434" s="15" t="s">
        <v>1000</v>
      </c>
      <c r="L434" s="31">
        <v>40470</v>
      </c>
      <c r="M434" s="29" t="s">
        <v>1934</v>
      </c>
      <c r="N434" s="14" t="s">
        <v>999</v>
      </c>
      <c r="O434" s="29">
        <v>1</v>
      </c>
      <c r="P434" s="79">
        <f>113874.91</f>
        <v>113874.91</v>
      </c>
    </row>
    <row r="435" spans="1:16" ht="31.5">
      <c r="A435" s="11">
        <v>311</v>
      </c>
      <c r="B435" s="11"/>
      <c r="C435" s="34" t="s">
        <v>957</v>
      </c>
      <c r="D435" s="15" t="s">
        <v>956</v>
      </c>
      <c r="E435" s="29">
        <v>77</v>
      </c>
      <c r="F435" s="29"/>
      <c r="G435" s="30" t="s">
        <v>1859</v>
      </c>
      <c r="H435" s="29"/>
      <c r="I435" s="29"/>
      <c r="J435" s="30" t="s">
        <v>1328</v>
      </c>
      <c r="K435" s="15" t="s">
        <v>1002</v>
      </c>
      <c r="L435" s="31">
        <v>41618</v>
      </c>
      <c r="M435" s="29" t="s">
        <v>1934</v>
      </c>
      <c r="N435" s="14" t="s">
        <v>1001</v>
      </c>
      <c r="O435" s="29">
        <v>1</v>
      </c>
      <c r="P435" s="79">
        <f>1441000</f>
        <v>1441000</v>
      </c>
    </row>
    <row r="436" spans="1:16" ht="47.25">
      <c r="A436" s="11">
        <v>312</v>
      </c>
      <c r="B436" s="11"/>
      <c r="C436" s="34" t="s">
        <v>955</v>
      </c>
      <c r="D436" s="15" t="s">
        <v>954</v>
      </c>
      <c r="E436" s="29">
        <v>27.7</v>
      </c>
      <c r="F436" s="29"/>
      <c r="G436" s="30" t="s">
        <v>1662</v>
      </c>
      <c r="H436" s="29"/>
      <c r="I436" s="29"/>
      <c r="J436" s="30" t="s">
        <v>1325</v>
      </c>
      <c r="K436" s="15" t="s">
        <v>1003</v>
      </c>
      <c r="L436" s="31">
        <v>42044</v>
      </c>
      <c r="M436" s="29" t="s">
        <v>1934</v>
      </c>
      <c r="N436" s="27" t="s">
        <v>1663</v>
      </c>
      <c r="O436" s="29">
        <v>1</v>
      </c>
      <c r="P436" s="79">
        <f>392000</f>
        <v>392000</v>
      </c>
    </row>
    <row r="437" spans="1:16" ht="47.25">
      <c r="A437" s="11">
        <v>313</v>
      </c>
      <c r="B437" s="11"/>
      <c r="C437" s="34" t="s">
        <v>953</v>
      </c>
      <c r="D437" s="15" t="s">
        <v>952</v>
      </c>
      <c r="E437" s="29">
        <v>27.2</v>
      </c>
      <c r="F437" s="29"/>
      <c r="G437" s="30" t="s">
        <v>1664</v>
      </c>
      <c r="H437" s="29"/>
      <c r="I437" s="29"/>
      <c r="J437" s="30" t="s">
        <v>1325</v>
      </c>
      <c r="K437" s="15" t="s">
        <v>1004</v>
      </c>
      <c r="L437" s="31">
        <v>42044</v>
      </c>
      <c r="M437" s="29" t="s">
        <v>1934</v>
      </c>
      <c r="N437" s="27" t="s">
        <v>747</v>
      </c>
      <c r="O437" s="29">
        <v>1</v>
      </c>
      <c r="P437" s="79">
        <f>386000</f>
        <v>386000</v>
      </c>
    </row>
    <row r="438" spans="1:16" ht="47.25">
      <c r="A438" s="11">
        <v>314</v>
      </c>
      <c r="B438" s="11"/>
      <c r="C438" s="34" t="s">
        <v>951</v>
      </c>
      <c r="D438" s="15" t="s">
        <v>950</v>
      </c>
      <c r="E438" s="29">
        <v>55.4</v>
      </c>
      <c r="F438" s="29"/>
      <c r="G438" s="30" t="s">
        <v>1670</v>
      </c>
      <c r="H438" s="29"/>
      <c r="I438" s="29"/>
      <c r="J438" s="30" t="s">
        <v>1325</v>
      </c>
      <c r="K438" s="30" t="s">
        <v>2358</v>
      </c>
      <c r="L438" s="31">
        <v>43099</v>
      </c>
      <c r="M438" s="29" t="s">
        <v>1934</v>
      </c>
      <c r="N438" s="27" t="s">
        <v>1671</v>
      </c>
      <c r="O438" s="29">
        <v>1</v>
      </c>
      <c r="P438" s="79">
        <f>755000</f>
        <v>755000</v>
      </c>
    </row>
    <row r="439" spans="1:16" ht="78.75" customHeight="1">
      <c r="A439" s="11">
        <v>315</v>
      </c>
      <c r="B439" s="11"/>
      <c r="C439" s="34" t="s">
        <v>1034</v>
      </c>
      <c r="D439" s="15" t="s">
        <v>1033</v>
      </c>
      <c r="E439" s="29">
        <v>27.9</v>
      </c>
      <c r="F439" s="29"/>
      <c r="G439" s="30" t="s">
        <v>1861</v>
      </c>
      <c r="H439" s="29"/>
      <c r="I439" s="29"/>
      <c r="J439" s="30" t="s">
        <v>1328</v>
      </c>
      <c r="K439" s="25" t="s">
        <v>1445</v>
      </c>
      <c r="L439" s="31">
        <v>40436</v>
      </c>
      <c r="M439" s="29" t="s">
        <v>1934</v>
      </c>
      <c r="N439" s="14" t="s">
        <v>472</v>
      </c>
      <c r="O439" s="29">
        <v>1</v>
      </c>
      <c r="P439" s="79">
        <f>45160.83</f>
        <v>45160.83</v>
      </c>
    </row>
    <row r="440" spans="1:16" ht="50.25" customHeight="1">
      <c r="A440" s="11">
        <v>316</v>
      </c>
      <c r="B440" s="11"/>
      <c r="C440" s="36" t="s">
        <v>2454</v>
      </c>
      <c r="D440" s="25" t="s">
        <v>2455</v>
      </c>
      <c r="E440" s="29">
        <v>27.7</v>
      </c>
      <c r="F440" s="29"/>
      <c r="G440" s="30" t="s">
        <v>2456</v>
      </c>
      <c r="H440" s="29"/>
      <c r="I440" s="29"/>
      <c r="J440" s="30" t="s">
        <v>1328</v>
      </c>
      <c r="K440" s="30" t="s">
        <v>2457</v>
      </c>
      <c r="L440" s="31">
        <v>44001</v>
      </c>
      <c r="M440" s="29" t="s">
        <v>1934</v>
      </c>
      <c r="N440" s="27" t="s">
        <v>2458</v>
      </c>
      <c r="O440" s="29">
        <v>1</v>
      </c>
      <c r="P440" s="79">
        <v>176000</v>
      </c>
    </row>
    <row r="441" spans="1:16" ht="49.5" customHeight="1">
      <c r="A441" s="11">
        <v>317</v>
      </c>
      <c r="B441" s="11"/>
      <c r="C441" s="34" t="s">
        <v>1032</v>
      </c>
      <c r="D441" s="15" t="s">
        <v>1031</v>
      </c>
      <c r="E441" s="29">
        <v>56.6</v>
      </c>
      <c r="F441" s="29"/>
      <c r="G441" s="30" t="s">
        <v>1860</v>
      </c>
      <c r="H441" s="29"/>
      <c r="I441" s="29"/>
      <c r="J441" s="30" t="s">
        <v>1328</v>
      </c>
      <c r="K441" s="15" t="s">
        <v>1036</v>
      </c>
      <c r="L441" s="31">
        <v>41446</v>
      </c>
      <c r="M441" s="29" t="s">
        <v>1934</v>
      </c>
      <c r="N441" s="14" t="s">
        <v>1035</v>
      </c>
      <c r="O441" s="29">
        <v>1</v>
      </c>
      <c r="P441" s="79">
        <f>78967</f>
        <v>78967</v>
      </c>
    </row>
    <row r="442" spans="1:16" ht="81.75" customHeight="1">
      <c r="A442" s="11">
        <v>318</v>
      </c>
      <c r="B442" s="11"/>
      <c r="C442" s="34" t="s">
        <v>1030</v>
      </c>
      <c r="D442" s="15" t="s">
        <v>1029</v>
      </c>
      <c r="E442" s="29">
        <v>77.5</v>
      </c>
      <c r="F442" s="29"/>
      <c r="G442" s="30" t="s">
        <v>1685</v>
      </c>
      <c r="H442" s="29"/>
      <c r="I442" s="29"/>
      <c r="J442" s="30" t="s">
        <v>1325</v>
      </c>
      <c r="K442" s="25" t="s">
        <v>2359</v>
      </c>
      <c r="L442" s="31">
        <v>42626</v>
      </c>
      <c r="M442" s="29" t="s">
        <v>1934</v>
      </c>
      <c r="N442" s="14" t="s">
        <v>1037</v>
      </c>
      <c r="O442" s="29">
        <v>1</v>
      </c>
      <c r="P442" s="79">
        <f>3966424</f>
        <v>3966424</v>
      </c>
    </row>
    <row r="443" spans="1:16" ht="79.5" customHeight="1">
      <c r="A443" s="11">
        <v>319</v>
      </c>
      <c r="B443" s="11"/>
      <c r="C443" s="34" t="s">
        <v>1028</v>
      </c>
      <c r="D443" s="15" t="s">
        <v>1027</v>
      </c>
      <c r="E443" s="29">
        <v>45.4</v>
      </c>
      <c r="F443" s="29"/>
      <c r="G443" s="30" t="s">
        <v>1685</v>
      </c>
      <c r="H443" s="29"/>
      <c r="I443" s="29"/>
      <c r="J443" s="30" t="s">
        <v>1325</v>
      </c>
      <c r="K443" s="25" t="s">
        <v>2360</v>
      </c>
      <c r="L443" s="31">
        <v>42626</v>
      </c>
      <c r="M443" s="29" t="s">
        <v>1934</v>
      </c>
      <c r="N443" s="14" t="s">
        <v>1038</v>
      </c>
      <c r="O443" s="29">
        <v>1</v>
      </c>
      <c r="P443" s="79">
        <f>2318040</f>
        <v>2318040</v>
      </c>
    </row>
    <row r="444" spans="1:16" ht="84" customHeight="1">
      <c r="A444" s="7">
        <v>320</v>
      </c>
      <c r="B444" s="11"/>
      <c r="C444" s="34" t="s">
        <v>1026</v>
      </c>
      <c r="D444" s="15" t="s">
        <v>1025</v>
      </c>
      <c r="E444" s="29">
        <v>55.2</v>
      </c>
      <c r="F444" s="29"/>
      <c r="G444" s="30" t="s">
        <v>1665</v>
      </c>
      <c r="H444" s="29"/>
      <c r="I444" s="29"/>
      <c r="J444" s="30" t="s">
        <v>1325</v>
      </c>
      <c r="K444" s="15" t="s">
        <v>1039</v>
      </c>
      <c r="L444" s="31">
        <v>40717</v>
      </c>
      <c r="M444" s="29" t="s">
        <v>1934</v>
      </c>
      <c r="N444" s="14" t="s">
        <v>496</v>
      </c>
      <c r="O444" s="29">
        <v>1</v>
      </c>
      <c r="P444" s="79">
        <f>61748.05</f>
        <v>61748.05</v>
      </c>
    </row>
    <row r="445" spans="1:16" ht="85.5" customHeight="1">
      <c r="A445" s="39">
        <v>321</v>
      </c>
      <c r="B445" s="11"/>
      <c r="C445" s="34" t="s">
        <v>1024</v>
      </c>
      <c r="D445" s="15" t="s">
        <v>1023</v>
      </c>
      <c r="E445" s="29">
        <v>20.4</v>
      </c>
      <c r="F445" s="29"/>
      <c r="G445" s="30" t="s">
        <v>1666</v>
      </c>
      <c r="H445" s="29"/>
      <c r="I445" s="29"/>
      <c r="J445" s="30" t="s">
        <v>1325</v>
      </c>
      <c r="K445" s="15" t="s">
        <v>1040</v>
      </c>
      <c r="L445" s="31">
        <v>41207</v>
      </c>
      <c r="M445" s="29" t="s">
        <v>1934</v>
      </c>
      <c r="N445" s="14" t="s">
        <v>496</v>
      </c>
      <c r="O445" s="29">
        <v>1</v>
      </c>
      <c r="P445" s="79">
        <f>20582.68</f>
        <v>20582.68</v>
      </c>
    </row>
    <row r="446" spans="1:16" ht="84" customHeight="1">
      <c r="A446" s="11">
        <v>322</v>
      </c>
      <c r="B446" s="11"/>
      <c r="C446" s="34" t="s">
        <v>1022</v>
      </c>
      <c r="D446" s="15" t="s">
        <v>1021</v>
      </c>
      <c r="E446" s="29">
        <v>37.3</v>
      </c>
      <c r="F446" s="29"/>
      <c r="G446" s="30" t="s">
        <v>1667</v>
      </c>
      <c r="H446" s="29"/>
      <c r="I446" s="29"/>
      <c r="J446" s="30" t="s">
        <v>1325</v>
      </c>
      <c r="K446" s="15" t="s">
        <v>1042</v>
      </c>
      <c r="L446" s="31" t="s">
        <v>1041</v>
      </c>
      <c r="M446" s="29" t="s">
        <v>1934</v>
      </c>
      <c r="N446" s="14" t="s">
        <v>496</v>
      </c>
      <c r="O446" s="29">
        <v>1</v>
      </c>
      <c r="P446" s="79">
        <f>41927.68</f>
        <v>41927.68</v>
      </c>
    </row>
    <row r="447" spans="1:16" ht="84.75" customHeight="1">
      <c r="A447" s="11">
        <v>323</v>
      </c>
      <c r="B447" s="11"/>
      <c r="C447" s="34" t="s">
        <v>1020</v>
      </c>
      <c r="D447" s="15" t="s">
        <v>1019</v>
      </c>
      <c r="E447" s="29">
        <v>76.4</v>
      </c>
      <c r="F447" s="29"/>
      <c r="G447" s="30" t="s">
        <v>1668</v>
      </c>
      <c r="H447" s="29"/>
      <c r="I447" s="29"/>
      <c r="J447" s="30" t="s">
        <v>1325</v>
      </c>
      <c r="K447" s="15" t="s">
        <v>1043</v>
      </c>
      <c r="L447" s="31">
        <v>41207</v>
      </c>
      <c r="M447" s="29" t="s">
        <v>1934</v>
      </c>
      <c r="N447" s="14" t="s">
        <v>496</v>
      </c>
      <c r="O447" s="29">
        <v>1</v>
      </c>
      <c r="P447" s="79">
        <f>120140.28</f>
        <v>120140.28</v>
      </c>
    </row>
    <row r="448" spans="1:16" ht="87.75" customHeight="1">
      <c r="A448" s="11">
        <v>324</v>
      </c>
      <c r="B448" s="11"/>
      <c r="C448" s="34" t="s">
        <v>1018</v>
      </c>
      <c r="D448" s="15" t="s">
        <v>1017</v>
      </c>
      <c r="E448" s="29">
        <v>75</v>
      </c>
      <c r="F448" s="29"/>
      <c r="G448" s="30" t="s">
        <v>1669</v>
      </c>
      <c r="H448" s="29"/>
      <c r="I448" s="29"/>
      <c r="J448" s="30" t="s">
        <v>1325</v>
      </c>
      <c r="K448" s="15" t="s">
        <v>1044</v>
      </c>
      <c r="L448" s="31">
        <v>41207</v>
      </c>
      <c r="M448" s="29" t="s">
        <v>1934</v>
      </c>
      <c r="N448" s="27" t="s">
        <v>472</v>
      </c>
      <c r="O448" s="29">
        <v>1</v>
      </c>
      <c r="P448" s="79">
        <f>123250.22</f>
        <v>123250.22</v>
      </c>
    </row>
    <row r="449" spans="1:16" ht="94.5">
      <c r="A449" s="11">
        <v>325</v>
      </c>
      <c r="B449" s="11"/>
      <c r="C449" s="34" t="s">
        <v>1016</v>
      </c>
      <c r="D449" s="15" t="s">
        <v>1015</v>
      </c>
      <c r="E449" s="29">
        <v>43.8</v>
      </c>
      <c r="F449" s="29"/>
      <c r="G449" s="30" t="s">
        <v>1672</v>
      </c>
      <c r="H449" s="29"/>
      <c r="I449" s="29"/>
      <c r="J449" s="30" t="s">
        <v>1325</v>
      </c>
      <c r="K449" s="15" t="s">
        <v>1045</v>
      </c>
      <c r="L449" s="31">
        <v>41207</v>
      </c>
      <c r="M449" s="29" t="s">
        <v>1934</v>
      </c>
      <c r="N449" s="14" t="s">
        <v>496</v>
      </c>
      <c r="O449" s="29">
        <v>1</v>
      </c>
      <c r="P449" s="79">
        <f>38241.39</f>
        <v>38241.39</v>
      </c>
    </row>
    <row r="450" spans="1:16" ht="80.25" customHeight="1">
      <c r="A450" s="11">
        <v>326</v>
      </c>
      <c r="B450" s="11"/>
      <c r="C450" s="34" t="s">
        <v>1014</v>
      </c>
      <c r="D450" s="15" t="s">
        <v>1013</v>
      </c>
      <c r="E450" s="29">
        <v>74.1</v>
      </c>
      <c r="F450" s="29"/>
      <c r="G450" s="30" t="s">
        <v>1673</v>
      </c>
      <c r="H450" s="29"/>
      <c r="I450" s="29"/>
      <c r="J450" s="30" t="s">
        <v>1325</v>
      </c>
      <c r="K450" s="15" t="s">
        <v>1046</v>
      </c>
      <c r="L450" s="31">
        <v>41207</v>
      </c>
      <c r="M450" s="29" t="s">
        <v>1934</v>
      </c>
      <c r="N450" s="27" t="s">
        <v>472</v>
      </c>
      <c r="O450" s="29">
        <v>1</v>
      </c>
      <c r="P450" s="79">
        <f>196119.62</f>
        <v>196119.62</v>
      </c>
    </row>
    <row r="451" spans="1:16" ht="83.25" customHeight="1">
      <c r="A451" s="11">
        <v>327</v>
      </c>
      <c r="B451" s="11"/>
      <c r="C451" s="34" t="s">
        <v>1012</v>
      </c>
      <c r="D451" s="15" t="s">
        <v>1011</v>
      </c>
      <c r="E451" s="29">
        <v>74.5</v>
      </c>
      <c r="F451" s="29"/>
      <c r="G451" s="30" t="s">
        <v>1674</v>
      </c>
      <c r="H451" s="29"/>
      <c r="I451" s="29"/>
      <c r="J451" s="30" t="s">
        <v>1325</v>
      </c>
      <c r="K451" s="15" t="s">
        <v>1047</v>
      </c>
      <c r="L451" s="31">
        <v>41212</v>
      </c>
      <c r="M451" s="29" t="s">
        <v>1934</v>
      </c>
      <c r="N451" s="27" t="s">
        <v>472</v>
      </c>
      <c r="O451" s="29">
        <v>1</v>
      </c>
      <c r="P451" s="79">
        <f>187823.92</f>
        <v>187823.92</v>
      </c>
    </row>
    <row r="452" spans="1:16" ht="83.25" customHeight="1">
      <c r="A452" s="11">
        <v>328</v>
      </c>
      <c r="B452" s="11"/>
      <c r="C452" s="34" t="s">
        <v>1010</v>
      </c>
      <c r="D452" s="15" t="s">
        <v>1009</v>
      </c>
      <c r="E452" s="29">
        <v>74.3</v>
      </c>
      <c r="F452" s="29"/>
      <c r="G452" s="30" t="s">
        <v>1713</v>
      </c>
      <c r="H452" s="29"/>
      <c r="I452" s="29"/>
      <c r="J452" s="30" t="s">
        <v>1325</v>
      </c>
      <c r="K452" s="15" t="s">
        <v>1048</v>
      </c>
      <c r="L452" s="31">
        <v>41207</v>
      </c>
      <c r="M452" s="29" t="s">
        <v>1934</v>
      </c>
      <c r="N452" s="27" t="s">
        <v>472</v>
      </c>
      <c r="O452" s="29">
        <v>1</v>
      </c>
      <c r="P452" s="79">
        <f>377667.78</f>
        <v>377667.78</v>
      </c>
    </row>
    <row r="453" spans="1:16" ht="47.25">
      <c r="A453" s="11">
        <v>329</v>
      </c>
      <c r="B453" s="11"/>
      <c r="C453" s="34" t="s">
        <v>1008</v>
      </c>
      <c r="D453" s="15" t="s">
        <v>1007</v>
      </c>
      <c r="E453" s="29">
        <v>58.6</v>
      </c>
      <c r="F453" s="29"/>
      <c r="G453" s="30" t="s">
        <v>1644</v>
      </c>
      <c r="H453" s="29"/>
      <c r="I453" s="29"/>
      <c r="J453" s="30" t="s">
        <v>1325</v>
      </c>
      <c r="K453" s="30" t="s">
        <v>2361</v>
      </c>
      <c r="L453" s="31">
        <v>42809</v>
      </c>
      <c r="M453" s="29" t="s">
        <v>1934</v>
      </c>
      <c r="N453" s="27" t="s">
        <v>1645</v>
      </c>
      <c r="O453" s="29">
        <v>1</v>
      </c>
      <c r="P453" s="79">
        <f>3407384</f>
        <v>3407384</v>
      </c>
    </row>
    <row r="454" spans="1:16" ht="47.25">
      <c r="A454" s="11">
        <v>330</v>
      </c>
      <c r="B454" s="11"/>
      <c r="C454" s="34" t="s">
        <v>1006</v>
      </c>
      <c r="D454" s="15" t="s">
        <v>1005</v>
      </c>
      <c r="E454" s="29">
        <v>58.6</v>
      </c>
      <c r="F454" s="29"/>
      <c r="G454" s="30" t="s">
        <v>1646</v>
      </c>
      <c r="H454" s="29"/>
      <c r="I454" s="29"/>
      <c r="J454" s="30" t="s">
        <v>1325</v>
      </c>
      <c r="K454" s="30" t="s">
        <v>2362</v>
      </c>
      <c r="L454" s="31"/>
      <c r="M454" s="29" t="s">
        <v>1934</v>
      </c>
      <c r="N454" s="27" t="s">
        <v>1645</v>
      </c>
      <c r="O454" s="29">
        <v>1</v>
      </c>
      <c r="P454" s="79">
        <f>3407384</f>
        <v>3407384</v>
      </c>
    </row>
    <row r="455" spans="1:16" ht="83.25" customHeight="1">
      <c r="A455" s="11">
        <v>331</v>
      </c>
      <c r="B455" s="11"/>
      <c r="C455" s="34" t="s">
        <v>1070</v>
      </c>
      <c r="D455" s="15" t="s">
        <v>1069</v>
      </c>
      <c r="E455" s="29">
        <v>43.8</v>
      </c>
      <c r="F455" s="29"/>
      <c r="G455" s="30" t="s">
        <v>1714</v>
      </c>
      <c r="H455" s="29"/>
      <c r="I455" s="29"/>
      <c r="J455" s="30" t="s">
        <v>1327</v>
      </c>
      <c r="K455" s="15" t="s">
        <v>1071</v>
      </c>
      <c r="L455" s="31">
        <v>41212</v>
      </c>
      <c r="M455" s="29" t="s">
        <v>1934</v>
      </c>
      <c r="N455" s="27" t="s">
        <v>472</v>
      </c>
      <c r="O455" s="29">
        <v>1</v>
      </c>
      <c r="P455" s="79">
        <f>70064.48</f>
        <v>70064.48</v>
      </c>
    </row>
    <row r="456" spans="1:16" ht="47.25">
      <c r="A456" s="11">
        <v>332</v>
      </c>
      <c r="B456" s="11"/>
      <c r="C456" s="36" t="s">
        <v>1965</v>
      </c>
      <c r="D456" s="25" t="s">
        <v>1966</v>
      </c>
      <c r="E456" s="29">
        <v>57.2</v>
      </c>
      <c r="F456" s="29"/>
      <c r="G456" s="30"/>
      <c r="H456" s="29"/>
      <c r="I456" s="29"/>
      <c r="J456" s="30" t="s">
        <v>1327</v>
      </c>
      <c r="K456" s="15"/>
      <c r="L456" s="31"/>
      <c r="M456" s="29" t="s">
        <v>1934</v>
      </c>
      <c r="N456" s="27" t="s">
        <v>1995</v>
      </c>
      <c r="O456" s="29">
        <v>1</v>
      </c>
      <c r="P456" s="79">
        <v>3316032</v>
      </c>
    </row>
    <row r="457" spans="1:16" ht="47.25">
      <c r="A457" s="11">
        <v>333</v>
      </c>
      <c r="B457" s="11"/>
      <c r="C457" s="36" t="s">
        <v>1967</v>
      </c>
      <c r="D457" s="25" t="s">
        <v>1968</v>
      </c>
      <c r="E457" s="29">
        <v>90.2</v>
      </c>
      <c r="F457" s="29"/>
      <c r="G457" s="30"/>
      <c r="H457" s="29"/>
      <c r="I457" s="29"/>
      <c r="J457" s="30" t="s">
        <v>1327</v>
      </c>
      <c r="K457" s="15"/>
      <c r="L457" s="31"/>
      <c r="M457" s="29" t="s">
        <v>1934</v>
      </c>
      <c r="N457" s="27" t="s">
        <v>1995</v>
      </c>
      <c r="O457" s="29">
        <v>1</v>
      </c>
      <c r="P457" s="79">
        <v>5177664</v>
      </c>
    </row>
    <row r="458" spans="1:16" ht="47.25">
      <c r="A458" s="11">
        <v>334</v>
      </c>
      <c r="B458" s="11"/>
      <c r="C458" s="34" t="s">
        <v>1068</v>
      </c>
      <c r="D458" s="15" t="s">
        <v>1067</v>
      </c>
      <c r="E458" s="29">
        <v>42.3</v>
      </c>
      <c r="F458" s="29"/>
      <c r="G458" s="30" t="s">
        <v>1888</v>
      </c>
      <c r="H458" s="29"/>
      <c r="I458" s="29"/>
      <c r="J458" s="30" t="s">
        <v>1327</v>
      </c>
      <c r="K458" s="15" t="s">
        <v>1072</v>
      </c>
      <c r="L458" s="31">
        <v>42348</v>
      </c>
      <c r="M458" s="29" t="s">
        <v>1934</v>
      </c>
      <c r="N458" s="27" t="s">
        <v>1889</v>
      </c>
      <c r="O458" s="29">
        <v>1</v>
      </c>
      <c r="P458" s="79">
        <f>482000</f>
        <v>482000</v>
      </c>
    </row>
    <row r="459" spans="1:16" ht="83.25" customHeight="1">
      <c r="A459" s="11">
        <v>335</v>
      </c>
      <c r="B459" s="11"/>
      <c r="C459" s="34" t="s">
        <v>1066</v>
      </c>
      <c r="D459" s="15" t="s">
        <v>1065</v>
      </c>
      <c r="E459" s="29">
        <v>57</v>
      </c>
      <c r="F459" s="29"/>
      <c r="G459" s="29"/>
      <c r="H459" s="29"/>
      <c r="I459" s="29"/>
      <c r="J459" s="30" t="s">
        <v>1327</v>
      </c>
      <c r="K459" s="15"/>
      <c r="L459" s="31"/>
      <c r="M459" s="29" t="s">
        <v>1934</v>
      </c>
      <c r="N459" s="14" t="s">
        <v>496</v>
      </c>
      <c r="O459" s="29">
        <v>1</v>
      </c>
      <c r="P459" s="79">
        <f>122570</f>
        <v>122570</v>
      </c>
    </row>
    <row r="460" spans="1:16" ht="82.5" customHeight="1">
      <c r="A460" s="11">
        <v>336</v>
      </c>
      <c r="B460" s="11"/>
      <c r="C460" s="34" t="s">
        <v>1064</v>
      </c>
      <c r="D460" s="15" t="s">
        <v>1063</v>
      </c>
      <c r="E460" s="29">
        <v>21.5</v>
      </c>
      <c r="F460" s="29"/>
      <c r="G460" s="30" t="s">
        <v>1717</v>
      </c>
      <c r="H460" s="29"/>
      <c r="I460" s="29"/>
      <c r="J460" s="30" t="s">
        <v>1327</v>
      </c>
      <c r="K460" s="15" t="s">
        <v>1073</v>
      </c>
      <c r="L460" s="31">
        <v>41207</v>
      </c>
      <c r="M460" s="29" t="s">
        <v>1934</v>
      </c>
      <c r="N460" s="14" t="s">
        <v>496</v>
      </c>
      <c r="O460" s="29">
        <v>1</v>
      </c>
      <c r="P460" s="79">
        <f>37119.84</f>
        <v>37119.84</v>
      </c>
    </row>
    <row r="461" spans="1:16" ht="36.75" customHeight="1">
      <c r="A461" s="47">
        <v>337</v>
      </c>
      <c r="C461" s="34" t="s">
        <v>1062</v>
      </c>
      <c r="D461" s="15" t="s">
        <v>1061</v>
      </c>
      <c r="E461" s="29">
        <v>43</v>
      </c>
      <c r="F461" s="29"/>
      <c r="G461" s="29" t="s">
        <v>1724</v>
      </c>
      <c r="H461" s="29"/>
      <c r="I461" s="29"/>
      <c r="J461" s="16" t="s">
        <v>1324</v>
      </c>
      <c r="K461" s="15" t="s">
        <v>1074</v>
      </c>
      <c r="L461" s="31">
        <v>42045</v>
      </c>
      <c r="M461" s="29" t="s">
        <v>1934</v>
      </c>
      <c r="N461" s="27" t="s">
        <v>1725</v>
      </c>
      <c r="O461" s="29">
        <v>1</v>
      </c>
      <c r="P461" s="79">
        <f>885000</f>
        <v>885000</v>
      </c>
    </row>
    <row r="462" spans="1:16" ht="83.25" customHeight="1">
      <c r="A462" s="11">
        <v>338</v>
      </c>
      <c r="B462" s="11"/>
      <c r="C462" s="34" t="s">
        <v>1060</v>
      </c>
      <c r="D462" s="15" t="s">
        <v>1059</v>
      </c>
      <c r="E462" s="29">
        <v>27.4</v>
      </c>
      <c r="F462" s="29"/>
      <c r="G462" s="30" t="s">
        <v>1741</v>
      </c>
      <c r="H462" s="29"/>
      <c r="I462" s="29"/>
      <c r="J462" s="16" t="s">
        <v>1324</v>
      </c>
      <c r="K462" s="15" t="s">
        <v>1075</v>
      </c>
      <c r="L462" s="31">
        <v>40717</v>
      </c>
      <c r="M462" s="29" t="s">
        <v>1934</v>
      </c>
      <c r="N462" s="27" t="s">
        <v>472</v>
      </c>
      <c r="O462" s="29">
        <v>1</v>
      </c>
      <c r="P462" s="79">
        <f>34638.52</f>
        <v>34638.52</v>
      </c>
    </row>
    <row r="463" spans="1:16" ht="87" customHeight="1">
      <c r="A463" s="11">
        <v>339</v>
      </c>
      <c r="B463" s="11"/>
      <c r="C463" s="34" t="s">
        <v>1058</v>
      </c>
      <c r="D463" s="15" t="s">
        <v>1057</v>
      </c>
      <c r="E463" s="29">
        <v>27.7</v>
      </c>
      <c r="F463" s="29"/>
      <c r="G463" s="30" t="s">
        <v>1742</v>
      </c>
      <c r="H463" s="29"/>
      <c r="I463" s="29"/>
      <c r="J463" s="16" t="s">
        <v>1324</v>
      </c>
      <c r="K463" s="15" t="s">
        <v>1076</v>
      </c>
      <c r="L463" s="31">
        <v>40717</v>
      </c>
      <c r="M463" s="29" t="s">
        <v>1934</v>
      </c>
      <c r="N463" s="27" t="s">
        <v>472</v>
      </c>
      <c r="O463" s="29">
        <v>1</v>
      </c>
      <c r="P463" s="79">
        <f>34638.52</f>
        <v>34638.52</v>
      </c>
    </row>
    <row r="464" spans="1:16" ht="81.75" customHeight="1">
      <c r="A464" s="11">
        <v>340</v>
      </c>
      <c r="B464" s="11"/>
      <c r="C464" s="34" t="s">
        <v>1056</v>
      </c>
      <c r="D464" s="15" t="s">
        <v>1055</v>
      </c>
      <c r="E464" s="29">
        <v>32</v>
      </c>
      <c r="F464" s="29"/>
      <c r="G464" s="30" t="s">
        <v>1718</v>
      </c>
      <c r="H464" s="29"/>
      <c r="I464" s="29"/>
      <c r="J464" s="30" t="s">
        <v>1327</v>
      </c>
      <c r="K464" s="15" t="s">
        <v>1077</v>
      </c>
      <c r="L464" s="31">
        <v>41208</v>
      </c>
      <c r="M464" s="29" t="s">
        <v>1934</v>
      </c>
      <c r="N464" s="27" t="s">
        <v>472</v>
      </c>
      <c r="O464" s="29">
        <v>1</v>
      </c>
      <c r="P464" s="79">
        <f>94468.67</f>
        <v>94468.67</v>
      </c>
    </row>
    <row r="465" spans="1:16" ht="86.25" customHeight="1">
      <c r="A465" s="39">
        <v>341</v>
      </c>
      <c r="B465" s="11"/>
      <c r="C465" s="34" t="s">
        <v>1054</v>
      </c>
      <c r="D465" s="15" t="s">
        <v>1053</v>
      </c>
      <c r="E465" s="29">
        <v>55.3</v>
      </c>
      <c r="F465" s="29"/>
      <c r="G465" s="30" t="s">
        <v>1719</v>
      </c>
      <c r="H465" s="29"/>
      <c r="I465" s="29"/>
      <c r="J465" s="30" t="s">
        <v>1327</v>
      </c>
      <c r="K465" s="15" t="s">
        <v>1078</v>
      </c>
      <c r="L465" s="31">
        <v>41208</v>
      </c>
      <c r="M465" s="29" t="s">
        <v>1934</v>
      </c>
      <c r="N465" s="27" t="s">
        <v>472</v>
      </c>
      <c r="O465" s="29">
        <v>1</v>
      </c>
      <c r="P465" s="79">
        <f>165024.96</f>
        <v>165024.96</v>
      </c>
    </row>
    <row r="466" spans="1:16" ht="31.5">
      <c r="A466" s="11">
        <v>342</v>
      </c>
      <c r="B466" s="11"/>
      <c r="C466" s="34" t="s">
        <v>1052</v>
      </c>
      <c r="D466" s="15" t="s">
        <v>1051</v>
      </c>
      <c r="E466" s="29">
        <v>58.1</v>
      </c>
      <c r="F466" s="29"/>
      <c r="G466" s="30" t="s">
        <v>1726</v>
      </c>
      <c r="H466" s="29"/>
      <c r="I466" s="29"/>
      <c r="J466" s="16" t="s">
        <v>1324</v>
      </c>
      <c r="K466" s="15" t="s">
        <v>1080</v>
      </c>
      <c r="L466" s="31">
        <v>42348</v>
      </c>
      <c r="M466" s="29" t="s">
        <v>1934</v>
      </c>
      <c r="N466" s="27" t="s">
        <v>1727</v>
      </c>
      <c r="O466" s="29">
        <v>1</v>
      </c>
      <c r="P466" s="79">
        <f>730000</f>
        <v>730000</v>
      </c>
    </row>
    <row r="467" spans="1:16" ht="47.25">
      <c r="A467" s="11">
        <v>343</v>
      </c>
      <c r="B467" s="11"/>
      <c r="C467" s="34" t="s">
        <v>1050</v>
      </c>
      <c r="D467" s="15" t="s">
        <v>1049</v>
      </c>
      <c r="E467" s="29">
        <v>57.1</v>
      </c>
      <c r="F467" s="29"/>
      <c r="G467" s="30" t="s">
        <v>1743</v>
      </c>
      <c r="H467" s="29"/>
      <c r="I467" s="29"/>
      <c r="J467" s="16" t="s">
        <v>1324</v>
      </c>
      <c r="K467" s="15" t="s">
        <v>1081</v>
      </c>
      <c r="L467" s="31">
        <v>40382</v>
      </c>
      <c r="M467" s="29" t="s">
        <v>1934</v>
      </c>
      <c r="N467" s="14" t="s">
        <v>1079</v>
      </c>
      <c r="O467" s="29">
        <v>1</v>
      </c>
      <c r="P467" s="79">
        <f>108764</f>
        <v>108764</v>
      </c>
    </row>
    <row r="468" spans="1:16" ht="81.75" customHeight="1">
      <c r="A468" s="11">
        <v>344</v>
      </c>
      <c r="B468" s="11"/>
      <c r="C468" s="34" t="s">
        <v>1113</v>
      </c>
      <c r="D468" s="15" t="s">
        <v>1112</v>
      </c>
      <c r="E468" s="29">
        <v>91.4</v>
      </c>
      <c r="F468" s="29"/>
      <c r="G468" s="30" t="s">
        <v>1750</v>
      </c>
      <c r="H468" s="29"/>
      <c r="I468" s="29"/>
      <c r="J468" s="16" t="s">
        <v>1324</v>
      </c>
      <c r="K468" s="15" t="s">
        <v>1114</v>
      </c>
      <c r="L468" s="31">
        <v>40717</v>
      </c>
      <c r="M468" s="29" t="s">
        <v>1934</v>
      </c>
      <c r="N468" s="14" t="s">
        <v>511</v>
      </c>
      <c r="O468" s="29">
        <v>1</v>
      </c>
      <c r="P468" s="79">
        <f>87413.27</f>
        <v>87413.27</v>
      </c>
    </row>
    <row r="469" spans="1:16" ht="82.5" customHeight="1">
      <c r="A469" s="11">
        <v>345</v>
      </c>
      <c r="B469" s="11"/>
      <c r="C469" s="34" t="s">
        <v>1111</v>
      </c>
      <c r="D469" s="15" t="s">
        <v>1110</v>
      </c>
      <c r="E469" s="29">
        <v>73.3</v>
      </c>
      <c r="F469" s="29"/>
      <c r="G469" s="30" t="s">
        <v>1745</v>
      </c>
      <c r="H469" s="29"/>
      <c r="I469" s="29"/>
      <c r="J469" s="16" t="s">
        <v>1324</v>
      </c>
      <c r="K469" s="15" t="s">
        <v>1115</v>
      </c>
      <c r="L469" s="31">
        <v>40747</v>
      </c>
      <c r="M469" s="29" t="s">
        <v>1934</v>
      </c>
      <c r="N469" s="14" t="s">
        <v>511</v>
      </c>
      <c r="O469" s="29">
        <v>1</v>
      </c>
      <c r="P469" s="79">
        <f>68442.73</f>
        <v>68442.73</v>
      </c>
    </row>
    <row r="470" spans="1:16" ht="47.25">
      <c r="A470" s="11">
        <v>346</v>
      </c>
      <c r="B470" s="11"/>
      <c r="C470" s="34" t="s">
        <v>1109</v>
      </c>
      <c r="D470" s="15" t="s">
        <v>1108</v>
      </c>
      <c r="E470" s="29">
        <v>102.7</v>
      </c>
      <c r="F470" s="29"/>
      <c r="G470" s="29" t="s">
        <v>1722</v>
      </c>
      <c r="H470" s="29"/>
      <c r="I470" s="29"/>
      <c r="J470" s="30" t="s">
        <v>1327</v>
      </c>
      <c r="K470" s="15" t="s">
        <v>1116</v>
      </c>
      <c r="L470" s="31">
        <v>41666</v>
      </c>
      <c r="M470" s="29" t="s">
        <v>1934</v>
      </c>
      <c r="N470" s="27" t="s">
        <v>1720</v>
      </c>
      <c r="O470" s="29">
        <v>1</v>
      </c>
      <c r="P470" s="79">
        <f>4440978</f>
        <v>4440978</v>
      </c>
    </row>
    <row r="471" spans="1:16" ht="47.25">
      <c r="A471" s="11">
        <v>347</v>
      </c>
      <c r="B471" s="11"/>
      <c r="C471" s="34" t="s">
        <v>1107</v>
      </c>
      <c r="D471" s="15" t="s">
        <v>1106</v>
      </c>
      <c r="E471" s="29">
        <v>102.7</v>
      </c>
      <c r="F471" s="29"/>
      <c r="G471" s="29" t="s">
        <v>1721</v>
      </c>
      <c r="H471" s="29"/>
      <c r="I471" s="29"/>
      <c r="J471" s="30" t="s">
        <v>1327</v>
      </c>
      <c r="K471" s="15" t="s">
        <v>1117</v>
      </c>
      <c r="L471" s="31">
        <v>41660</v>
      </c>
      <c r="M471" s="29" t="s">
        <v>1934</v>
      </c>
      <c r="N471" s="27" t="s">
        <v>1720</v>
      </c>
      <c r="O471" s="29">
        <v>1</v>
      </c>
      <c r="P471" s="79">
        <f>4477290</f>
        <v>4477290</v>
      </c>
    </row>
    <row r="472" spans="1:16" ht="47.25">
      <c r="A472" s="11">
        <v>348</v>
      </c>
      <c r="B472" s="11"/>
      <c r="C472" s="34" t="s">
        <v>1105</v>
      </c>
      <c r="D472" s="15" t="s">
        <v>1104</v>
      </c>
      <c r="E472" s="29">
        <v>84.6</v>
      </c>
      <c r="F472" s="29"/>
      <c r="G472" s="29" t="s">
        <v>1118</v>
      </c>
      <c r="H472" s="29"/>
      <c r="I472" s="29"/>
      <c r="J472" s="30" t="s">
        <v>1327</v>
      </c>
      <c r="K472" s="15" t="s">
        <v>1119</v>
      </c>
      <c r="L472" s="31">
        <v>41667</v>
      </c>
      <c r="M472" s="29" t="s">
        <v>1934</v>
      </c>
      <c r="N472" s="27" t="s">
        <v>1720</v>
      </c>
      <c r="O472" s="29">
        <v>1</v>
      </c>
      <c r="P472" s="79">
        <f>3657276</f>
        <v>3657276</v>
      </c>
    </row>
    <row r="473" spans="1:16" ht="31.5">
      <c r="A473" s="11">
        <v>349</v>
      </c>
      <c r="B473" s="11"/>
      <c r="C473" s="34" t="s">
        <v>1103</v>
      </c>
      <c r="D473" s="15" t="s">
        <v>1102</v>
      </c>
      <c r="E473" s="29">
        <v>68.8</v>
      </c>
      <c r="F473" s="29"/>
      <c r="G473" s="30" t="s">
        <v>1744</v>
      </c>
      <c r="H473" s="29"/>
      <c r="I473" s="29"/>
      <c r="J473" s="16" t="s">
        <v>1324</v>
      </c>
      <c r="K473" s="15" t="s">
        <v>1120</v>
      </c>
      <c r="L473" s="31">
        <v>40858</v>
      </c>
      <c r="M473" s="29" t="s">
        <v>1934</v>
      </c>
      <c r="N473" s="27" t="s">
        <v>1728</v>
      </c>
      <c r="O473" s="29">
        <v>1</v>
      </c>
      <c r="P473" s="79">
        <f>459000</f>
        <v>459000</v>
      </c>
    </row>
    <row r="474" spans="1:16" ht="31.5">
      <c r="A474" s="11">
        <v>350</v>
      </c>
      <c r="B474" s="11"/>
      <c r="C474" s="34" t="s">
        <v>1101</v>
      </c>
      <c r="D474" s="15" t="s">
        <v>1100</v>
      </c>
      <c r="E474" s="29">
        <v>39.7</v>
      </c>
      <c r="F474" s="29"/>
      <c r="G474" s="30" t="s">
        <v>1746</v>
      </c>
      <c r="H474" s="29"/>
      <c r="I474" s="29"/>
      <c r="J474" s="16" t="s">
        <v>1324</v>
      </c>
      <c r="K474" s="15" t="s">
        <v>1121</v>
      </c>
      <c r="L474" s="31">
        <v>40858</v>
      </c>
      <c r="M474" s="29" t="s">
        <v>1934</v>
      </c>
      <c r="N474" s="27" t="s">
        <v>1728</v>
      </c>
      <c r="O474" s="29">
        <v>1</v>
      </c>
      <c r="P474" s="79">
        <f>265000</f>
        <v>265000</v>
      </c>
    </row>
    <row r="475" spans="1:16" ht="78.75" customHeight="1">
      <c r="A475" s="11">
        <v>351</v>
      </c>
      <c r="B475" s="11"/>
      <c r="C475" s="34" t="s">
        <v>1099</v>
      </c>
      <c r="D475" s="15" t="s">
        <v>1098</v>
      </c>
      <c r="E475" s="29">
        <v>66.7</v>
      </c>
      <c r="F475" s="29"/>
      <c r="G475" s="30" t="s">
        <v>1747</v>
      </c>
      <c r="H475" s="29"/>
      <c r="I475" s="29"/>
      <c r="J475" s="16" t="s">
        <v>1324</v>
      </c>
      <c r="K475" s="15" t="s">
        <v>1122</v>
      </c>
      <c r="L475" s="31">
        <v>40771</v>
      </c>
      <c r="M475" s="29" t="s">
        <v>1934</v>
      </c>
      <c r="N475" s="27" t="s">
        <v>472</v>
      </c>
      <c r="O475" s="29">
        <v>1</v>
      </c>
      <c r="P475" s="79">
        <f>6269.6</f>
        <v>6269.6</v>
      </c>
    </row>
    <row r="476" spans="1:16" ht="82.5" customHeight="1">
      <c r="A476" s="11">
        <v>352</v>
      </c>
      <c r="B476" s="11"/>
      <c r="C476" s="34" t="s">
        <v>1097</v>
      </c>
      <c r="D476" s="15" t="s">
        <v>1096</v>
      </c>
      <c r="E476" s="29">
        <v>66.7</v>
      </c>
      <c r="F476" s="29"/>
      <c r="G476" s="30" t="s">
        <v>1748</v>
      </c>
      <c r="H476" s="29"/>
      <c r="I476" s="29"/>
      <c r="J476" s="16" t="s">
        <v>1324</v>
      </c>
      <c r="K476" s="15" t="s">
        <v>1123</v>
      </c>
      <c r="L476" s="31">
        <v>40771</v>
      </c>
      <c r="M476" s="29" t="s">
        <v>1934</v>
      </c>
      <c r="N476" s="27" t="s">
        <v>472</v>
      </c>
      <c r="O476" s="29">
        <v>1</v>
      </c>
      <c r="P476" s="79">
        <f>6269.6</f>
        <v>6269.6</v>
      </c>
    </row>
    <row r="477" spans="1:16" ht="47.25">
      <c r="A477" s="11">
        <v>353</v>
      </c>
      <c r="B477" s="11"/>
      <c r="C477" s="36" t="s">
        <v>2230</v>
      </c>
      <c r="D477" s="25" t="s">
        <v>2231</v>
      </c>
      <c r="E477" s="29">
        <v>66.4</v>
      </c>
      <c r="F477" s="29"/>
      <c r="G477" s="30" t="s">
        <v>2232</v>
      </c>
      <c r="H477" s="29"/>
      <c r="I477" s="29"/>
      <c r="J477" s="16" t="s">
        <v>1324</v>
      </c>
      <c r="K477" s="30" t="s">
        <v>2363</v>
      </c>
      <c r="L477" s="31">
        <v>43866</v>
      </c>
      <c r="M477" s="29" t="s">
        <v>1934</v>
      </c>
      <c r="N477" s="27" t="s">
        <v>2233</v>
      </c>
      <c r="O477" s="29">
        <v>1</v>
      </c>
      <c r="P477" s="79">
        <v>901000</v>
      </c>
    </row>
    <row r="478" spans="1:16" ht="31.5" customHeight="1">
      <c r="A478" s="11">
        <v>354</v>
      </c>
      <c r="B478" s="11"/>
      <c r="C478" s="34" t="s">
        <v>1095</v>
      </c>
      <c r="D478" s="15" t="s">
        <v>1094</v>
      </c>
      <c r="E478" s="29">
        <v>66.2</v>
      </c>
      <c r="F478" s="29"/>
      <c r="G478" s="29" t="s">
        <v>1751</v>
      </c>
      <c r="H478" s="29"/>
      <c r="I478" s="29"/>
      <c r="J478" s="16" t="s">
        <v>1324</v>
      </c>
      <c r="K478" s="15" t="s">
        <v>1124</v>
      </c>
      <c r="L478" s="31">
        <v>41800</v>
      </c>
      <c r="M478" s="29" t="s">
        <v>1934</v>
      </c>
      <c r="N478" s="27" t="s">
        <v>1752</v>
      </c>
      <c r="O478" s="29">
        <v>1</v>
      </c>
      <c r="P478" s="79">
        <f>477000</f>
        <v>477000</v>
      </c>
    </row>
    <row r="479" spans="1:16" ht="50.25" customHeight="1">
      <c r="A479" s="11">
        <v>355</v>
      </c>
      <c r="B479" s="11"/>
      <c r="C479" s="36" t="s">
        <v>2234</v>
      </c>
      <c r="D479" s="25" t="s">
        <v>2235</v>
      </c>
      <c r="E479" s="29">
        <v>33.6</v>
      </c>
      <c r="F479" s="29"/>
      <c r="G479" s="30" t="s">
        <v>2236</v>
      </c>
      <c r="H479" s="29"/>
      <c r="I479" s="29"/>
      <c r="J479" s="16" t="s">
        <v>1324</v>
      </c>
      <c r="K479" s="30" t="s">
        <v>2364</v>
      </c>
      <c r="L479" s="31">
        <v>43866</v>
      </c>
      <c r="M479" s="29" t="s">
        <v>1934</v>
      </c>
      <c r="N479" s="27" t="s">
        <v>2233</v>
      </c>
      <c r="O479" s="29">
        <v>1</v>
      </c>
      <c r="P479" s="79">
        <v>471000</v>
      </c>
    </row>
    <row r="480" spans="1:16" ht="47.25">
      <c r="A480" s="11">
        <v>356</v>
      </c>
      <c r="B480" s="11"/>
      <c r="C480" s="34" t="s">
        <v>1093</v>
      </c>
      <c r="D480" s="15" t="s">
        <v>1092</v>
      </c>
      <c r="E480" s="29">
        <v>75.1</v>
      </c>
      <c r="F480" s="29"/>
      <c r="G480" s="30" t="s">
        <v>1749</v>
      </c>
      <c r="H480" s="29"/>
      <c r="I480" s="29"/>
      <c r="J480" s="16" t="s">
        <v>1324</v>
      </c>
      <c r="K480" s="15" t="s">
        <v>1125</v>
      </c>
      <c r="L480" s="31">
        <v>41160</v>
      </c>
      <c r="M480" s="29" t="s">
        <v>1934</v>
      </c>
      <c r="N480" s="27" t="s">
        <v>1708</v>
      </c>
      <c r="O480" s="29">
        <v>1</v>
      </c>
      <c r="P480" s="79">
        <f>2602292</f>
        <v>2602292</v>
      </c>
    </row>
    <row r="481" spans="1:16" ht="47.25">
      <c r="A481" s="11">
        <v>357</v>
      </c>
      <c r="B481" s="11"/>
      <c r="C481" s="34" t="s">
        <v>1091</v>
      </c>
      <c r="D481" s="15" t="s">
        <v>1090</v>
      </c>
      <c r="E481" s="29">
        <v>61.3</v>
      </c>
      <c r="F481" s="29"/>
      <c r="G481" s="29" t="s">
        <v>1126</v>
      </c>
      <c r="H481" s="29"/>
      <c r="I481" s="29"/>
      <c r="J481" s="30" t="s">
        <v>1326</v>
      </c>
      <c r="K481" s="15" t="s">
        <v>1127</v>
      </c>
      <c r="L481" s="31">
        <v>41666</v>
      </c>
      <c r="M481" s="29" t="s">
        <v>1934</v>
      </c>
      <c r="N481" s="27" t="s">
        <v>1709</v>
      </c>
      <c r="O481" s="29">
        <v>1</v>
      </c>
      <c r="P481" s="79">
        <f>2414225</f>
        <v>2414225</v>
      </c>
    </row>
    <row r="482" spans="1:16" ht="47.25">
      <c r="A482" s="11">
        <v>358</v>
      </c>
      <c r="B482" s="11"/>
      <c r="C482" s="34" t="s">
        <v>1089</v>
      </c>
      <c r="D482" s="15" t="s">
        <v>1088</v>
      </c>
      <c r="E482" s="29">
        <v>78.6</v>
      </c>
      <c r="F482" s="29"/>
      <c r="G482" s="30" t="s">
        <v>1693</v>
      </c>
      <c r="H482" s="29"/>
      <c r="I482" s="29"/>
      <c r="J482" s="30" t="s">
        <v>1326</v>
      </c>
      <c r="K482" s="25" t="s">
        <v>1446</v>
      </c>
      <c r="L482" s="31"/>
      <c r="M482" s="29" t="s">
        <v>1934</v>
      </c>
      <c r="N482" s="27" t="s">
        <v>1694</v>
      </c>
      <c r="O482" s="29">
        <v>1</v>
      </c>
      <c r="P482" s="79">
        <f>3589950</f>
        <v>3589950</v>
      </c>
    </row>
    <row r="483" spans="1:16" ht="47.25">
      <c r="A483" s="39">
        <v>359</v>
      </c>
      <c r="B483" s="11"/>
      <c r="C483" s="34" t="s">
        <v>1087</v>
      </c>
      <c r="D483" s="15" t="s">
        <v>1086</v>
      </c>
      <c r="E483" s="29">
        <v>54.9</v>
      </c>
      <c r="F483" s="29"/>
      <c r="G483" s="29" t="s">
        <v>1128</v>
      </c>
      <c r="H483" s="29"/>
      <c r="I483" s="29"/>
      <c r="J483" s="30" t="s">
        <v>1326</v>
      </c>
      <c r="K483" s="15" t="s">
        <v>1129</v>
      </c>
      <c r="L483" s="31">
        <v>41666</v>
      </c>
      <c r="M483" s="29" t="s">
        <v>1934</v>
      </c>
      <c r="N483" s="27" t="s">
        <v>1707</v>
      </c>
      <c r="O483" s="29">
        <v>1</v>
      </c>
      <c r="P483" s="79">
        <f>2407201.8</f>
        <v>2407201.8</v>
      </c>
    </row>
    <row r="484" spans="1:16" ht="63">
      <c r="A484" s="39">
        <v>360</v>
      </c>
      <c r="B484" s="11"/>
      <c r="C484" s="34" t="s">
        <v>1085</v>
      </c>
      <c r="D484" s="15" t="s">
        <v>1084</v>
      </c>
      <c r="E484" s="29">
        <v>92.7</v>
      </c>
      <c r="F484" s="29"/>
      <c r="G484" s="30" t="s">
        <v>1862</v>
      </c>
      <c r="H484" s="29"/>
      <c r="I484" s="29"/>
      <c r="J484" s="30" t="s">
        <v>1328</v>
      </c>
      <c r="K484" s="25" t="s">
        <v>1865</v>
      </c>
      <c r="L484" s="31">
        <v>39092</v>
      </c>
      <c r="M484" s="29" t="s">
        <v>1934</v>
      </c>
      <c r="N484" s="27" t="s">
        <v>1863</v>
      </c>
      <c r="O484" s="29">
        <v>1</v>
      </c>
      <c r="P484" s="79">
        <f>1300000</f>
        <v>1300000</v>
      </c>
    </row>
    <row r="485" spans="1:16" ht="47.25">
      <c r="A485" s="39">
        <v>361</v>
      </c>
      <c r="B485" s="11"/>
      <c r="C485" s="34" t="s">
        <v>1083</v>
      </c>
      <c r="D485" s="15" t="s">
        <v>1082</v>
      </c>
      <c r="E485" s="29">
        <v>39.7</v>
      </c>
      <c r="F485" s="29"/>
      <c r="G485" s="30" t="s">
        <v>1864</v>
      </c>
      <c r="H485" s="29"/>
      <c r="I485" s="29"/>
      <c r="J485" s="30" t="s">
        <v>1328</v>
      </c>
      <c r="K485" s="15" t="s">
        <v>1130</v>
      </c>
      <c r="L485" s="31">
        <v>42047</v>
      </c>
      <c r="M485" s="29" t="s">
        <v>1934</v>
      </c>
      <c r="N485" s="27" t="s">
        <v>1452</v>
      </c>
      <c r="O485" s="29">
        <v>1</v>
      </c>
      <c r="P485" s="79">
        <f>513000</f>
        <v>513000</v>
      </c>
    </row>
    <row r="486" spans="1:16" ht="47.25">
      <c r="A486" s="39">
        <v>362</v>
      </c>
      <c r="B486" s="11"/>
      <c r="C486" s="36" t="s">
        <v>1961</v>
      </c>
      <c r="D486" s="25" t="s">
        <v>1962</v>
      </c>
      <c r="E486" s="29">
        <v>27.8</v>
      </c>
      <c r="F486" s="29"/>
      <c r="G486" s="30" t="s">
        <v>1963</v>
      </c>
      <c r="H486" s="29"/>
      <c r="I486" s="29"/>
      <c r="J486" s="30" t="s">
        <v>1328</v>
      </c>
      <c r="K486" s="30" t="s">
        <v>1964</v>
      </c>
      <c r="L486" s="31">
        <v>43494</v>
      </c>
      <c r="M486" s="29" t="s">
        <v>1934</v>
      </c>
      <c r="N486" s="27" t="s">
        <v>1951</v>
      </c>
      <c r="O486" s="29">
        <v>1</v>
      </c>
      <c r="P486" s="79">
        <v>560000</v>
      </c>
    </row>
    <row r="487" spans="1:16" ht="63">
      <c r="A487" s="11">
        <v>363</v>
      </c>
      <c r="B487" s="11"/>
      <c r="C487" s="34" t="s">
        <v>1199</v>
      </c>
      <c r="D487" s="25" t="s">
        <v>1486</v>
      </c>
      <c r="E487" s="29">
        <v>1562.7</v>
      </c>
      <c r="F487" s="29"/>
      <c r="G487" s="30" t="s">
        <v>1488</v>
      </c>
      <c r="H487" s="29"/>
      <c r="I487" s="29"/>
      <c r="J487" s="30" t="s">
        <v>1487</v>
      </c>
      <c r="K487" s="15" t="s">
        <v>1200</v>
      </c>
      <c r="L487" s="31">
        <v>40710</v>
      </c>
      <c r="M487" s="30" t="s">
        <v>1935</v>
      </c>
      <c r="N487" s="27" t="s">
        <v>1489</v>
      </c>
      <c r="O487" s="29">
        <v>1</v>
      </c>
      <c r="P487" s="79">
        <f>16205366.5</f>
        <v>16205366.5</v>
      </c>
    </row>
    <row r="488" spans="1:16" ht="31.5">
      <c r="A488" s="11">
        <v>364</v>
      </c>
      <c r="B488" s="11"/>
      <c r="C488" s="34" t="s">
        <v>1198</v>
      </c>
      <c r="D488" s="25" t="s">
        <v>1490</v>
      </c>
      <c r="E488" s="29">
        <v>728.1</v>
      </c>
      <c r="F488" s="29"/>
      <c r="G488" s="30" t="s">
        <v>1491</v>
      </c>
      <c r="H488" s="29"/>
      <c r="I488" s="29"/>
      <c r="J488" s="30" t="s">
        <v>1325</v>
      </c>
      <c r="K488" s="15" t="s">
        <v>1201</v>
      </c>
      <c r="L488" s="31">
        <v>40514</v>
      </c>
      <c r="M488" s="30" t="s">
        <v>1935</v>
      </c>
      <c r="N488" s="27" t="s">
        <v>1462</v>
      </c>
      <c r="O488" s="29">
        <v>1</v>
      </c>
      <c r="P488" s="79">
        <f>4368000</f>
        <v>4368000</v>
      </c>
    </row>
    <row r="489" spans="1:16" ht="63">
      <c r="A489" s="80">
        <v>365</v>
      </c>
      <c r="B489" s="11"/>
      <c r="C489" s="34" t="s">
        <v>1197</v>
      </c>
      <c r="D489" s="25" t="s">
        <v>1532</v>
      </c>
      <c r="E489" s="29"/>
      <c r="F489" s="29"/>
      <c r="G489" s="30" t="s">
        <v>1539</v>
      </c>
      <c r="H489" s="29"/>
      <c r="I489" s="29"/>
      <c r="J489" s="30" t="s">
        <v>1538</v>
      </c>
      <c r="K489" s="25" t="s">
        <v>1541</v>
      </c>
      <c r="L489" s="31">
        <v>43305</v>
      </c>
      <c r="M489" s="30" t="s">
        <v>1935</v>
      </c>
      <c r="N489" s="27" t="s">
        <v>1537</v>
      </c>
      <c r="O489" s="29">
        <v>1</v>
      </c>
      <c r="P489" s="79">
        <f>904399.64</f>
        <v>904399.64</v>
      </c>
    </row>
    <row r="490" spans="1:16" ht="63">
      <c r="A490" s="11">
        <v>366</v>
      </c>
      <c r="B490" s="11"/>
      <c r="C490" s="34" t="s">
        <v>1196</v>
      </c>
      <c r="D490" s="25" t="s">
        <v>1532</v>
      </c>
      <c r="E490" s="29"/>
      <c r="F490" s="29"/>
      <c r="G490" s="30" t="s">
        <v>1536</v>
      </c>
      <c r="H490" s="29"/>
      <c r="I490" s="29"/>
      <c r="J490" s="30" t="s">
        <v>1535</v>
      </c>
      <c r="K490" s="25" t="s">
        <v>1540</v>
      </c>
      <c r="L490" s="31">
        <v>43305</v>
      </c>
      <c r="M490" s="30" t="s">
        <v>1935</v>
      </c>
      <c r="N490" s="27" t="s">
        <v>1537</v>
      </c>
      <c r="O490" s="29">
        <v>1</v>
      </c>
      <c r="P490" s="79">
        <f>904399.64</f>
        <v>904399.64</v>
      </c>
    </row>
    <row r="491" spans="1:16" ht="47.25">
      <c r="A491" s="11">
        <v>367</v>
      </c>
      <c r="B491" s="11"/>
      <c r="C491" s="34" t="s">
        <v>1195</v>
      </c>
      <c r="D491" s="15" t="s">
        <v>1194</v>
      </c>
      <c r="E491" s="29"/>
      <c r="F491" s="29"/>
      <c r="G491" s="30" t="s">
        <v>1450</v>
      </c>
      <c r="H491" s="29"/>
      <c r="I491" s="29"/>
      <c r="J491" s="30" t="s">
        <v>1325</v>
      </c>
      <c r="K491" s="15" t="s">
        <v>1202</v>
      </c>
      <c r="L491" s="31">
        <v>40545</v>
      </c>
      <c r="M491" s="29" t="s">
        <v>1933</v>
      </c>
      <c r="N491" s="27" t="s">
        <v>1451</v>
      </c>
      <c r="O491" s="29">
        <v>1</v>
      </c>
      <c r="P491" s="79">
        <f>10125000</f>
        <v>10125000</v>
      </c>
    </row>
    <row r="492" spans="1:16" ht="31.5">
      <c r="A492" s="11">
        <v>368</v>
      </c>
      <c r="B492" s="11"/>
      <c r="C492" s="34" t="s">
        <v>1215</v>
      </c>
      <c r="D492" s="25" t="s">
        <v>1552</v>
      </c>
      <c r="E492" s="29"/>
      <c r="F492" s="29"/>
      <c r="G492" s="29"/>
      <c r="H492" s="29"/>
      <c r="I492" s="29"/>
      <c r="J492" s="30" t="s">
        <v>1326</v>
      </c>
      <c r="K492" s="15" t="s">
        <v>312</v>
      </c>
      <c r="L492" s="31"/>
      <c r="M492" s="30" t="s">
        <v>1935</v>
      </c>
      <c r="N492" s="14" t="s">
        <v>1216</v>
      </c>
      <c r="O492" s="29">
        <v>1</v>
      </c>
      <c r="P492" s="79">
        <f>12000</f>
        <v>12000</v>
      </c>
    </row>
    <row r="493" spans="1:16" ht="47.25">
      <c r="A493" s="11">
        <v>369</v>
      </c>
      <c r="B493" s="11"/>
      <c r="C493" s="34" t="s">
        <v>1214</v>
      </c>
      <c r="D493" s="25" t="s">
        <v>1553</v>
      </c>
      <c r="E493" s="29">
        <v>98.1</v>
      </c>
      <c r="F493" s="29"/>
      <c r="G493" s="29" t="s">
        <v>1753</v>
      </c>
      <c r="H493" s="29"/>
      <c r="I493" s="29"/>
      <c r="J493" s="30" t="s">
        <v>1453</v>
      </c>
      <c r="K493" s="30" t="s">
        <v>1754</v>
      </c>
      <c r="L493" s="31">
        <v>42895</v>
      </c>
      <c r="M493" s="30" t="s">
        <v>1935</v>
      </c>
      <c r="N493" s="27" t="s">
        <v>1755</v>
      </c>
      <c r="O493" s="29">
        <v>1</v>
      </c>
      <c r="P493" s="79">
        <f>1</f>
        <v>1</v>
      </c>
    </row>
    <row r="494" spans="1:16" ht="78.75">
      <c r="A494" s="11">
        <v>370</v>
      </c>
      <c r="B494" s="11"/>
      <c r="C494" s="34" t="s">
        <v>1213</v>
      </c>
      <c r="D494" s="25" t="s">
        <v>1448</v>
      </c>
      <c r="E494" s="29"/>
      <c r="F494" s="29"/>
      <c r="G494" s="30" t="s">
        <v>1455</v>
      </c>
      <c r="H494" s="29"/>
      <c r="I494" s="29"/>
      <c r="J494" s="30" t="s">
        <v>1326</v>
      </c>
      <c r="K494" s="15" t="s">
        <v>1217</v>
      </c>
      <c r="L494" s="31">
        <v>41347</v>
      </c>
      <c r="M494" s="30" t="s">
        <v>1935</v>
      </c>
      <c r="N494" s="27" t="s">
        <v>1454</v>
      </c>
      <c r="O494" s="29">
        <v>1</v>
      </c>
      <c r="P494" s="79">
        <f>578715</f>
        <v>578715</v>
      </c>
    </row>
    <row r="495" spans="1:16" ht="64.5" customHeight="1">
      <c r="A495" s="11">
        <v>371</v>
      </c>
      <c r="B495" s="11"/>
      <c r="C495" s="34" t="s">
        <v>1212</v>
      </c>
      <c r="D495" s="15" t="s">
        <v>1210</v>
      </c>
      <c r="E495" s="29"/>
      <c r="F495" s="29"/>
      <c r="G495" s="29"/>
      <c r="H495" s="29"/>
      <c r="I495" s="29"/>
      <c r="J495" s="30" t="s">
        <v>1326</v>
      </c>
      <c r="K495" s="15" t="s">
        <v>312</v>
      </c>
      <c r="L495" s="31"/>
      <c r="M495" s="30" t="s">
        <v>1935</v>
      </c>
      <c r="N495" s="27" t="s">
        <v>1996</v>
      </c>
      <c r="O495" s="29">
        <v>1</v>
      </c>
      <c r="P495" s="79">
        <f>873103.61</f>
        <v>873103.61</v>
      </c>
    </row>
    <row r="496" spans="1:16" ht="63">
      <c r="A496" s="7">
        <v>372</v>
      </c>
      <c r="B496" s="11"/>
      <c r="C496" s="34" t="s">
        <v>1211</v>
      </c>
      <c r="D496" s="15" t="s">
        <v>1210</v>
      </c>
      <c r="E496" s="29"/>
      <c r="F496" s="29"/>
      <c r="G496" s="29"/>
      <c r="H496" s="29"/>
      <c r="I496" s="29"/>
      <c r="J496" s="30" t="s">
        <v>1326</v>
      </c>
      <c r="K496" s="15" t="s">
        <v>312</v>
      </c>
      <c r="L496" s="31"/>
      <c r="M496" s="30" t="s">
        <v>1935</v>
      </c>
      <c r="N496" s="27" t="s">
        <v>1996</v>
      </c>
      <c r="O496" s="29">
        <v>1</v>
      </c>
      <c r="P496" s="79">
        <f>873103.62</f>
        <v>873103.62</v>
      </c>
    </row>
    <row r="497" spans="1:16" ht="47.25">
      <c r="A497" s="50">
        <v>373</v>
      </c>
      <c r="B497" s="11"/>
      <c r="C497" s="34" t="s">
        <v>1227</v>
      </c>
      <c r="D497" s="25" t="s">
        <v>1528</v>
      </c>
      <c r="E497" s="29">
        <v>144.9</v>
      </c>
      <c r="F497" s="29"/>
      <c r="G497" s="29" t="s">
        <v>1531</v>
      </c>
      <c r="H497" s="29"/>
      <c r="I497" s="29"/>
      <c r="J497" s="30" t="s">
        <v>1327</v>
      </c>
      <c r="K497" s="25" t="s">
        <v>1533</v>
      </c>
      <c r="L497" s="31">
        <v>42895</v>
      </c>
      <c r="M497" s="30" t="s">
        <v>1935</v>
      </c>
      <c r="N497" s="27" t="s">
        <v>1534</v>
      </c>
      <c r="O497" s="29">
        <v>1</v>
      </c>
      <c r="P497" s="79">
        <f>1125000</f>
        <v>1125000</v>
      </c>
    </row>
    <row r="498" spans="1:16" ht="63">
      <c r="A498" s="50">
        <v>374</v>
      </c>
      <c r="B498" s="11"/>
      <c r="C498" s="34" t="s">
        <v>1226</v>
      </c>
      <c r="D498" s="25" t="s">
        <v>1448</v>
      </c>
      <c r="E498" s="29"/>
      <c r="F498" s="29"/>
      <c r="G498" s="30" t="s">
        <v>1449</v>
      </c>
      <c r="H498" s="29"/>
      <c r="I498" s="29"/>
      <c r="J498" s="30" t="s">
        <v>1447</v>
      </c>
      <c r="K498" s="15" t="s">
        <v>1228</v>
      </c>
      <c r="L498" s="31">
        <v>41347</v>
      </c>
      <c r="M498" s="30" t="s">
        <v>1935</v>
      </c>
      <c r="N498" s="27" t="s">
        <v>1523</v>
      </c>
      <c r="O498" s="29">
        <v>1</v>
      </c>
      <c r="P498" s="79">
        <f>578715</f>
        <v>578715</v>
      </c>
    </row>
    <row r="499" spans="1:16" ht="47.25">
      <c r="A499" s="50">
        <v>375</v>
      </c>
      <c r="B499" s="11"/>
      <c r="C499" s="34" t="s">
        <v>1225</v>
      </c>
      <c r="D499" s="25" t="s">
        <v>1525</v>
      </c>
      <c r="E499" s="29"/>
      <c r="F499" s="29"/>
      <c r="G499" s="29" t="s">
        <v>1529</v>
      </c>
      <c r="H499" s="29"/>
      <c r="I499" s="29"/>
      <c r="J499" s="30" t="s">
        <v>1521</v>
      </c>
      <c r="K499" s="25" t="s">
        <v>1522</v>
      </c>
      <c r="L499" s="31">
        <v>42773</v>
      </c>
      <c r="M499" s="30" t="s">
        <v>1935</v>
      </c>
      <c r="N499" s="27" t="s">
        <v>1524</v>
      </c>
      <c r="O499" s="29">
        <v>1</v>
      </c>
      <c r="P499" s="79">
        <f>940606.94</f>
        <v>940606.94</v>
      </c>
    </row>
    <row r="500" spans="1:16" ht="47.25">
      <c r="A500" s="47">
        <v>376</v>
      </c>
      <c r="B500" s="11"/>
      <c r="C500" s="34" t="s">
        <v>1224</v>
      </c>
      <c r="D500" s="25" t="s">
        <v>1532</v>
      </c>
      <c r="E500" s="29"/>
      <c r="F500" s="29"/>
      <c r="G500" s="29" t="s">
        <v>1530</v>
      </c>
      <c r="H500" s="29"/>
      <c r="I500" s="29"/>
      <c r="J500" s="30" t="s">
        <v>1526</v>
      </c>
      <c r="K500" s="25" t="s">
        <v>1527</v>
      </c>
      <c r="L500" s="31">
        <v>42773</v>
      </c>
      <c r="M500" s="30" t="s">
        <v>1935</v>
      </c>
      <c r="N500" s="27" t="s">
        <v>1524</v>
      </c>
      <c r="O500" s="29">
        <v>1</v>
      </c>
      <c r="P500" s="79">
        <f>940606.94</f>
        <v>940606.94</v>
      </c>
    </row>
    <row r="501" spans="1:16" ht="31.5">
      <c r="A501" s="11">
        <v>377</v>
      </c>
      <c r="B501" s="11"/>
      <c r="C501" s="34" t="s">
        <v>1275</v>
      </c>
      <c r="D501" s="25" t="s">
        <v>1515</v>
      </c>
      <c r="E501" s="29">
        <v>21.5</v>
      </c>
      <c r="F501" s="29"/>
      <c r="G501" s="29" t="s">
        <v>1516</v>
      </c>
      <c r="H501" s="29"/>
      <c r="I501" s="29"/>
      <c r="J501" s="30" t="s">
        <v>1517</v>
      </c>
      <c r="K501" s="25" t="s">
        <v>1518</v>
      </c>
      <c r="L501" s="31">
        <v>42037</v>
      </c>
      <c r="M501" s="30" t="s">
        <v>1935</v>
      </c>
      <c r="N501" s="27" t="s">
        <v>1471</v>
      </c>
      <c r="O501" s="29">
        <v>1</v>
      </c>
      <c r="P501" s="79">
        <f>238104.38</f>
        <v>238104.38</v>
      </c>
    </row>
    <row r="502" spans="1:16" ht="31.5">
      <c r="A502" s="11">
        <v>378</v>
      </c>
      <c r="B502" s="11"/>
      <c r="C502" s="34" t="s">
        <v>1274</v>
      </c>
      <c r="D502" s="25" t="s">
        <v>1461</v>
      </c>
      <c r="E502" s="29">
        <v>243.4</v>
      </c>
      <c r="F502" s="29"/>
      <c r="G502" s="30" t="s">
        <v>1468</v>
      </c>
      <c r="H502" s="29"/>
      <c r="I502" s="29"/>
      <c r="J502" s="30" t="s">
        <v>1460</v>
      </c>
      <c r="K502" s="15" t="s">
        <v>1276</v>
      </c>
      <c r="L502" s="31">
        <v>40533</v>
      </c>
      <c r="M502" s="30" t="s">
        <v>1935</v>
      </c>
      <c r="N502" s="27" t="s">
        <v>1462</v>
      </c>
      <c r="O502" s="29">
        <v>1</v>
      </c>
      <c r="P502" s="79">
        <f>5650000</f>
        <v>5650000</v>
      </c>
    </row>
    <row r="503" spans="1:16" ht="45" customHeight="1">
      <c r="A503" s="11">
        <v>379</v>
      </c>
      <c r="B503" s="11"/>
      <c r="C503" s="34" t="s">
        <v>1273</v>
      </c>
      <c r="D503" s="25" t="s">
        <v>1464</v>
      </c>
      <c r="E503" s="29">
        <v>229.4</v>
      </c>
      <c r="F503" s="29"/>
      <c r="G503" s="30" t="s">
        <v>1469</v>
      </c>
      <c r="H503" s="29"/>
      <c r="I503" s="29"/>
      <c r="J503" s="30" t="s">
        <v>1463</v>
      </c>
      <c r="K503" s="15" t="s">
        <v>1277</v>
      </c>
      <c r="L503" s="31">
        <v>41239</v>
      </c>
      <c r="M503" s="30" t="s">
        <v>1935</v>
      </c>
      <c r="N503" s="27" t="s">
        <v>1465</v>
      </c>
      <c r="O503" s="29">
        <v>1</v>
      </c>
      <c r="P503" s="79">
        <f>2113708.33</f>
        <v>2113708.33</v>
      </c>
    </row>
    <row r="504" spans="1:16" ht="51.75" customHeight="1">
      <c r="A504" s="11">
        <v>380</v>
      </c>
      <c r="B504" s="11"/>
      <c r="C504" s="34" t="s">
        <v>1272</v>
      </c>
      <c r="D504" s="15" t="s">
        <v>1271</v>
      </c>
      <c r="E504" s="29">
        <v>245.9</v>
      </c>
      <c r="F504" s="29"/>
      <c r="G504" s="30" t="s">
        <v>1492</v>
      </c>
      <c r="H504" s="29"/>
      <c r="I504" s="29"/>
      <c r="J504" s="30" t="s">
        <v>1328</v>
      </c>
      <c r="K504" s="15" t="s">
        <v>1278</v>
      </c>
      <c r="L504" s="31">
        <v>40535</v>
      </c>
      <c r="M504" s="30" t="s">
        <v>1935</v>
      </c>
      <c r="N504" s="27" t="s">
        <v>1465</v>
      </c>
      <c r="O504" s="29">
        <v>1</v>
      </c>
      <c r="P504" s="79">
        <f>1105000</f>
        <v>1105000</v>
      </c>
    </row>
    <row r="505" spans="1:16" ht="38.25" customHeight="1">
      <c r="A505" s="11">
        <v>381</v>
      </c>
      <c r="B505" s="11"/>
      <c r="C505" s="34" t="s">
        <v>1270</v>
      </c>
      <c r="D505" s="25" t="s">
        <v>1513</v>
      </c>
      <c r="E505" s="29">
        <v>13.1</v>
      </c>
      <c r="F505" s="29"/>
      <c r="G505" s="29" t="s">
        <v>1514</v>
      </c>
      <c r="H505" s="29"/>
      <c r="I505" s="29"/>
      <c r="J505" s="30" t="s">
        <v>1512</v>
      </c>
      <c r="K505" s="15" t="s">
        <v>1279</v>
      </c>
      <c r="L505" s="31">
        <v>42037</v>
      </c>
      <c r="M505" s="30" t="s">
        <v>1935</v>
      </c>
      <c r="N505" s="27" t="s">
        <v>1471</v>
      </c>
      <c r="O505" s="29">
        <v>1</v>
      </c>
      <c r="P505" s="79">
        <f>112963.2</f>
        <v>112963.2</v>
      </c>
    </row>
    <row r="506" spans="1:16" ht="47.25">
      <c r="A506" s="11">
        <v>382</v>
      </c>
      <c r="B506" s="11"/>
      <c r="C506" s="34" t="s">
        <v>1269</v>
      </c>
      <c r="D506" s="25" t="s">
        <v>1472</v>
      </c>
      <c r="E506" s="29">
        <v>565.7</v>
      </c>
      <c r="F506" s="29"/>
      <c r="G506" s="30" t="s">
        <v>1474</v>
      </c>
      <c r="H506" s="29"/>
      <c r="I506" s="29"/>
      <c r="J506" s="30" t="s">
        <v>1473</v>
      </c>
      <c r="K506" s="15" t="s">
        <v>1280</v>
      </c>
      <c r="L506" s="31">
        <v>40514</v>
      </c>
      <c r="M506" s="30" t="s">
        <v>1935</v>
      </c>
      <c r="N506" s="27" t="s">
        <v>1471</v>
      </c>
      <c r="O506" s="29">
        <v>1</v>
      </c>
      <c r="P506" s="79">
        <f>3807000</f>
        <v>3807000</v>
      </c>
    </row>
    <row r="507" spans="1:16" ht="31.5">
      <c r="A507" s="11">
        <v>383</v>
      </c>
      <c r="B507" s="11"/>
      <c r="C507" s="34" t="s">
        <v>1268</v>
      </c>
      <c r="D507" s="25" t="s">
        <v>1502</v>
      </c>
      <c r="E507" s="29">
        <v>997.2</v>
      </c>
      <c r="F507" s="29"/>
      <c r="G507" s="29" t="s">
        <v>1504</v>
      </c>
      <c r="H507" s="29"/>
      <c r="I507" s="29"/>
      <c r="J507" s="30" t="s">
        <v>1501</v>
      </c>
      <c r="K507" s="15" t="s">
        <v>1281</v>
      </c>
      <c r="L507" s="31">
        <v>42030</v>
      </c>
      <c r="M507" s="30" t="s">
        <v>1935</v>
      </c>
      <c r="N507" s="27" t="s">
        <v>1471</v>
      </c>
      <c r="O507" s="29">
        <v>1</v>
      </c>
      <c r="P507" s="79">
        <f>16000000</f>
        <v>16000000</v>
      </c>
    </row>
    <row r="508" spans="1:16" ht="31.5">
      <c r="A508" s="11">
        <v>384</v>
      </c>
      <c r="B508" s="11"/>
      <c r="C508" s="34" t="s">
        <v>1267</v>
      </c>
      <c r="D508" s="25" t="s">
        <v>1493</v>
      </c>
      <c r="E508" s="29">
        <v>93.1</v>
      </c>
      <c r="F508" s="29"/>
      <c r="G508" s="29" t="s">
        <v>1509</v>
      </c>
      <c r="H508" s="29"/>
      <c r="I508" s="29"/>
      <c r="J508" s="30" t="s">
        <v>1508</v>
      </c>
      <c r="K508" s="15" t="s">
        <v>1282</v>
      </c>
      <c r="L508" s="31">
        <v>41977</v>
      </c>
      <c r="M508" s="30" t="s">
        <v>1935</v>
      </c>
      <c r="N508" s="27" t="s">
        <v>1471</v>
      </c>
      <c r="O508" s="29">
        <v>1</v>
      </c>
      <c r="P508" s="79">
        <f>734720</f>
        <v>734720</v>
      </c>
    </row>
    <row r="509" spans="1:16" ht="31.5">
      <c r="A509" s="11">
        <v>385</v>
      </c>
      <c r="B509" s="11"/>
      <c r="C509" s="34" t="s">
        <v>1266</v>
      </c>
      <c r="D509" s="25" t="s">
        <v>1510</v>
      </c>
      <c r="E509" s="29">
        <v>91.9</v>
      </c>
      <c r="F509" s="29"/>
      <c r="G509" s="29" t="s">
        <v>1511</v>
      </c>
      <c r="H509" s="29"/>
      <c r="I509" s="29"/>
      <c r="J509" s="30" t="s">
        <v>1328</v>
      </c>
      <c r="K509" s="15" t="s">
        <v>1283</v>
      </c>
      <c r="L509" s="31">
        <v>42030</v>
      </c>
      <c r="M509" s="30" t="s">
        <v>1935</v>
      </c>
      <c r="N509" s="27" t="s">
        <v>1462</v>
      </c>
      <c r="O509" s="29">
        <v>1</v>
      </c>
      <c r="P509" s="79">
        <f>159600</f>
        <v>159600</v>
      </c>
    </row>
    <row r="510" spans="1:16" ht="31.5">
      <c r="A510" s="11">
        <v>386</v>
      </c>
      <c r="B510" s="11"/>
      <c r="C510" s="34" t="s">
        <v>1265</v>
      </c>
      <c r="D510" s="15" t="s">
        <v>1264</v>
      </c>
      <c r="E510" s="29"/>
      <c r="F510" s="29"/>
      <c r="G510" s="29"/>
      <c r="H510" s="29"/>
      <c r="I510" s="29"/>
      <c r="J510" s="30" t="s">
        <v>1328</v>
      </c>
      <c r="K510" s="15" t="s">
        <v>312</v>
      </c>
      <c r="L510" s="31"/>
      <c r="M510" s="30" t="s">
        <v>1935</v>
      </c>
      <c r="N510" s="27" t="s">
        <v>1462</v>
      </c>
      <c r="O510" s="29">
        <v>1</v>
      </c>
      <c r="P510" s="79">
        <f>2248273.72</f>
        <v>2248273.72</v>
      </c>
    </row>
    <row r="511" spans="1:16" ht="42" customHeight="1">
      <c r="A511" s="11">
        <v>387</v>
      </c>
      <c r="B511" s="11"/>
      <c r="C511" s="34" t="s">
        <v>1263</v>
      </c>
      <c r="D511" s="25" t="s">
        <v>1467</v>
      </c>
      <c r="E511" s="29">
        <v>298.4</v>
      </c>
      <c r="F511" s="29"/>
      <c r="G511" s="30" t="s">
        <v>1470</v>
      </c>
      <c r="H511" s="29"/>
      <c r="I511" s="29"/>
      <c r="J511" s="30" t="s">
        <v>1466</v>
      </c>
      <c r="K511" s="15" t="s">
        <v>1284</v>
      </c>
      <c r="L511" s="31">
        <v>40512</v>
      </c>
      <c r="M511" s="30" t="s">
        <v>1935</v>
      </c>
      <c r="N511" s="27" t="s">
        <v>1471</v>
      </c>
      <c r="O511" s="29">
        <v>1</v>
      </c>
      <c r="P511" s="79">
        <f>7805000</f>
        <v>7805000</v>
      </c>
    </row>
    <row r="512" spans="1:16" ht="63">
      <c r="A512" s="11">
        <v>388</v>
      </c>
      <c r="B512" s="11"/>
      <c r="C512" s="34" t="s">
        <v>1262</v>
      </c>
      <c r="D512" s="25" t="s">
        <v>1483</v>
      </c>
      <c r="E512" s="29">
        <v>49.9</v>
      </c>
      <c r="F512" s="29"/>
      <c r="G512" s="30" t="s">
        <v>1484</v>
      </c>
      <c r="H512" s="29"/>
      <c r="I512" s="29"/>
      <c r="J512" s="30" t="s">
        <v>1463</v>
      </c>
      <c r="K512" s="15" t="s">
        <v>1285</v>
      </c>
      <c r="L512" s="31">
        <v>41234</v>
      </c>
      <c r="M512" s="30" t="s">
        <v>1935</v>
      </c>
      <c r="N512" s="27" t="s">
        <v>1485</v>
      </c>
      <c r="O512" s="29">
        <v>1</v>
      </c>
      <c r="P512" s="79">
        <f>79590.21</f>
        <v>79590.21</v>
      </c>
    </row>
    <row r="513" spans="1:16" ht="47.25">
      <c r="A513" s="11">
        <v>389</v>
      </c>
      <c r="B513" s="11"/>
      <c r="C513" s="34" t="s">
        <v>1261</v>
      </c>
      <c r="D513" s="15" t="s">
        <v>1260</v>
      </c>
      <c r="E513" s="29">
        <v>432</v>
      </c>
      <c r="F513" s="29"/>
      <c r="G513" s="29"/>
      <c r="H513" s="29"/>
      <c r="I513" s="29"/>
      <c r="J513" s="30" t="s">
        <v>1328</v>
      </c>
      <c r="K513" s="15" t="s">
        <v>312</v>
      </c>
      <c r="L513" s="31"/>
      <c r="M513" s="30" t="s">
        <v>1935</v>
      </c>
      <c r="N513" s="27" t="s">
        <v>1462</v>
      </c>
      <c r="O513" s="29">
        <v>1</v>
      </c>
      <c r="P513" s="79">
        <f>743000</f>
        <v>743000</v>
      </c>
    </row>
    <row r="514" spans="1:16" ht="31.5">
      <c r="A514" s="11">
        <v>390</v>
      </c>
      <c r="B514" s="11"/>
      <c r="C514" s="34" t="s">
        <v>1259</v>
      </c>
      <c r="D514" s="15" t="s">
        <v>1258</v>
      </c>
      <c r="E514" s="29">
        <v>303.7</v>
      </c>
      <c r="F514" s="29"/>
      <c r="G514" s="29"/>
      <c r="H514" s="29"/>
      <c r="I514" s="29"/>
      <c r="J514" s="30" t="s">
        <v>1328</v>
      </c>
      <c r="K514" s="15"/>
      <c r="L514" s="31"/>
      <c r="M514" s="30" t="s">
        <v>1935</v>
      </c>
      <c r="N514" s="27" t="s">
        <v>1471</v>
      </c>
      <c r="O514" s="29">
        <v>1</v>
      </c>
      <c r="P514" s="79">
        <f>1800000</f>
        <v>1800000</v>
      </c>
    </row>
    <row r="515" spans="1:16" ht="31.5">
      <c r="A515" s="11">
        <v>391</v>
      </c>
      <c r="B515" s="11"/>
      <c r="C515" s="34" t="s">
        <v>1257</v>
      </c>
      <c r="D515" s="25" t="s">
        <v>1519</v>
      </c>
      <c r="E515" s="29">
        <v>1481.3</v>
      </c>
      <c r="F515" s="29"/>
      <c r="G515" s="29" t="s">
        <v>1520</v>
      </c>
      <c r="H515" s="29"/>
      <c r="I515" s="29"/>
      <c r="J515" s="30" t="s">
        <v>1506</v>
      </c>
      <c r="K515" s="15" t="s">
        <v>1286</v>
      </c>
      <c r="L515" s="31">
        <v>42037</v>
      </c>
      <c r="M515" s="30" t="s">
        <v>1935</v>
      </c>
      <c r="N515" s="27" t="s">
        <v>1471</v>
      </c>
      <c r="O515" s="29">
        <v>1</v>
      </c>
      <c r="P515" s="79">
        <f>22620000</f>
        <v>22620000</v>
      </c>
    </row>
    <row r="516" spans="1:16" ht="31.5">
      <c r="A516" s="11">
        <v>392</v>
      </c>
      <c r="B516" s="11"/>
      <c r="C516" s="34" t="s">
        <v>1256</v>
      </c>
      <c r="D516" s="25" t="s">
        <v>1507</v>
      </c>
      <c r="E516" s="29">
        <v>160.3</v>
      </c>
      <c r="F516" s="29"/>
      <c r="G516" s="29" t="s">
        <v>1505</v>
      </c>
      <c r="H516" s="29"/>
      <c r="I516" s="29"/>
      <c r="J516" s="30" t="s">
        <v>1506</v>
      </c>
      <c r="K516" s="15" t="s">
        <v>1287</v>
      </c>
      <c r="L516" s="31">
        <v>41977</v>
      </c>
      <c r="M516" s="30" t="s">
        <v>1935</v>
      </c>
      <c r="N516" s="27" t="s">
        <v>1462</v>
      </c>
      <c r="O516" s="29">
        <v>1</v>
      </c>
      <c r="P516" s="79">
        <f>1763000</f>
        <v>1763000</v>
      </c>
    </row>
    <row r="517" spans="1:16" ht="47.25">
      <c r="A517" s="7">
        <v>393</v>
      </c>
      <c r="B517" s="11"/>
      <c r="C517" s="34" t="s">
        <v>1255</v>
      </c>
      <c r="D517" s="15" t="s">
        <v>1254</v>
      </c>
      <c r="E517" s="29"/>
      <c r="F517" s="29"/>
      <c r="G517" s="30" t="s">
        <v>1503</v>
      </c>
      <c r="H517" s="29"/>
      <c r="I517" s="29"/>
      <c r="J517" s="30" t="s">
        <v>1328</v>
      </c>
      <c r="K517" s="15" t="s">
        <v>1288</v>
      </c>
      <c r="L517" s="31">
        <v>40591</v>
      </c>
      <c r="M517" s="29" t="s">
        <v>1933</v>
      </c>
      <c r="N517" s="27" t="s">
        <v>1459</v>
      </c>
      <c r="O517" s="29">
        <v>1</v>
      </c>
      <c r="P517" s="79">
        <f>20960000</f>
        <v>20960000</v>
      </c>
    </row>
    <row r="518" spans="1:16" ht="31.5">
      <c r="A518" s="47">
        <v>394</v>
      </c>
      <c r="B518" s="11"/>
      <c r="C518" s="34" t="s">
        <v>1253</v>
      </c>
      <c r="D518" s="15" t="s">
        <v>1252</v>
      </c>
      <c r="E518" s="29"/>
      <c r="F518" s="29"/>
      <c r="G518" s="29"/>
      <c r="H518" s="29"/>
      <c r="I518" s="29"/>
      <c r="J518" s="30" t="s">
        <v>1328</v>
      </c>
      <c r="K518" s="15" t="s">
        <v>312</v>
      </c>
      <c r="L518" s="31"/>
      <c r="M518" s="29" t="s">
        <v>1936</v>
      </c>
      <c r="N518" s="27" t="s">
        <v>1462</v>
      </c>
      <c r="O518" s="29">
        <v>1</v>
      </c>
      <c r="P518" s="79">
        <f>21160644</f>
        <v>21160644</v>
      </c>
    </row>
    <row r="519" spans="1:16" ht="94.5">
      <c r="A519" s="11">
        <v>395</v>
      </c>
      <c r="B519" s="11"/>
      <c r="C519" s="36" t="s">
        <v>1997</v>
      </c>
      <c r="D519" s="25" t="s">
        <v>1998</v>
      </c>
      <c r="E519" s="29"/>
      <c r="F519" s="29"/>
      <c r="G519" s="29"/>
      <c r="H519" s="29"/>
      <c r="I519" s="29"/>
      <c r="J519" s="30" t="s">
        <v>1328</v>
      </c>
      <c r="K519" s="29"/>
      <c r="L519" s="29"/>
      <c r="M519" s="30" t="s">
        <v>1935</v>
      </c>
      <c r="N519" s="27" t="s">
        <v>1999</v>
      </c>
      <c r="O519" s="29">
        <v>1</v>
      </c>
      <c r="P519" s="79">
        <v>298500</v>
      </c>
    </row>
    <row r="520" spans="1:16" ht="94.5">
      <c r="A520" s="11">
        <v>396</v>
      </c>
      <c r="B520" s="11"/>
      <c r="C520" s="36" t="s">
        <v>2002</v>
      </c>
      <c r="D520" s="25" t="s">
        <v>2000</v>
      </c>
      <c r="E520" s="29"/>
      <c r="F520" s="29"/>
      <c r="G520" s="29"/>
      <c r="H520" s="29"/>
      <c r="I520" s="29"/>
      <c r="J520" s="30" t="s">
        <v>1328</v>
      </c>
      <c r="K520" s="29"/>
      <c r="L520" s="29"/>
      <c r="M520" s="30" t="s">
        <v>1935</v>
      </c>
      <c r="N520" s="27" t="s">
        <v>1999</v>
      </c>
      <c r="O520" s="29">
        <v>1</v>
      </c>
      <c r="P520" s="79">
        <v>298500</v>
      </c>
    </row>
    <row r="521" spans="1:16" ht="94.5">
      <c r="A521" s="11">
        <v>397</v>
      </c>
      <c r="B521" s="11"/>
      <c r="C521" s="36" t="s">
        <v>2003</v>
      </c>
      <c r="D521" s="25" t="s">
        <v>2001</v>
      </c>
      <c r="E521" s="29"/>
      <c r="F521" s="29"/>
      <c r="G521" s="29"/>
      <c r="H521" s="29"/>
      <c r="I521" s="29"/>
      <c r="J521" s="30" t="s">
        <v>1328</v>
      </c>
      <c r="K521" s="29"/>
      <c r="L521" s="29"/>
      <c r="M521" s="30" t="s">
        <v>1935</v>
      </c>
      <c r="N521" s="27" t="s">
        <v>1999</v>
      </c>
      <c r="O521" s="29">
        <v>1</v>
      </c>
      <c r="P521" s="79">
        <v>298500</v>
      </c>
    </row>
    <row r="522" spans="1:16" ht="78.75">
      <c r="A522" s="39">
        <v>398</v>
      </c>
      <c r="B522" s="11"/>
      <c r="C522" s="39" t="s">
        <v>2013</v>
      </c>
      <c r="D522" s="17" t="s">
        <v>2014</v>
      </c>
      <c r="E522" s="11">
        <v>2105</v>
      </c>
      <c r="F522" s="11"/>
      <c r="G522" s="11" t="s">
        <v>2379</v>
      </c>
      <c r="H522" s="11"/>
      <c r="I522" s="11"/>
      <c r="J522" s="30" t="s">
        <v>1328</v>
      </c>
      <c r="K522" s="30" t="s">
        <v>2380</v>
      </c>
      <c r="L522" s="31">
        <v>42096</v>
      </c>
      <c r="M522" s="30" t="s">
        <v>1935</v>
      </c>
      <c r="N522" s="27" t="s">
        <v>2015</v>
      </c>
      <c r="O522" s="29">
        <v>1</v>
      </c>
      <c r="P522" s="79">
        <v>3001119.55</v>
      </c>
    </row>
    <row r="523" spans="1:16" ht="78.75">
      <c r="A523" s="11">
        <v>399</v>
      </c>
      <c r="B523" s="11"/>
      <c r="C523" s="39" t="s">
        <v>2016</v>
      </c>
      <c r="D523" s="17" t="s">
        <v>2017</v>
      </c>
      <c r="E523" s="11">
        <v>358</v>
      </c>
      <c r="F523" s="11"/>
      <c r="G523" s="11" t="s">
        <v>2395</v>
      </c>
      <c r="H523" s="11"/>
      <c r="I523" s="11"/>
      <c r="J523" s="30" t="s">
        <v>1328</v>
      </c>
      <c r="K523" s="30" t="s">
        <v>2396</v>
      </c>
      <c r="L523" s="31">
        <v>42096</v>
      </c>
      <c r="M523" s="30" t="s">
        <v>1935</v>
      </c>
      <c r="N523" s="27" t="s">
        <v>2015</v>
      </c>
      <c r="O523" s="29">
        <v>1</v>
      </c>
      <c r="P523" s="79">
        <v>510407.76</v>
      </c>
    </row>
    <row r="524" spans="1:18" s="6" customFormat="1" ht="87.75" customHeight="1">
      <c r="A524" s="11">
        <v>400</v>
      </c>
      <c r="B524" s="11"/>
      <c r="C524" s="39" t="s">
        <v>2019</v>
      </c>
      <c r="D524" s="17" t="s">
        <v>2018</v>
      </c>
      <c r="E524" s="11">
        <v>320</v>
      </c>
      <c r="F524" s="11"/>
      <c r="G524" s="11" t="s">
        <v>2383</v>
      </c>
      <c r="H524" s="11"/>
      <c r="I524" s="11"/>
      <c r="J524" s="30" t="s">
        <v>1328</v>
      </c>
      <c r="K524" s="30" t="s">
        <v>2384</v>
      </c>
      <c r="L524" s="31">
        <v>42096</v>
      </c>
      <c r="M524" s="30" t="s">
        <v>1935</v>
      </c>
      <c r="N524" s="27" t="s">
        <v>2015</v>
      </c>
      <c r="O524" s="29">
        <v>1</v>
      </c>
      <c r="P524" s="79">
        <v>456230.4</v>
      </c>
      <c r="Q524" s="10"/>
      <c r="R524" s="5"/>
    </row>
    <row r="525" spans="1:18" s="6" customFormat="1" ht="87" customHeight="1">
      <c r="A525" s="11">
        <v>401</v>
      </c>
      <c r="B525" s="11"/>
      <c r="C525" s="39" t="s">
        <v>2021</v>
      </c>
      <c r="D525" s="17" t="s">
        <v>2020</v>
      </c>
      <c r="E525" s="11">
        <v>1975</v>
      </c>
      <c r="F525" s="11"/>
      <c r="G525" s="11" t="s">
        <v>2387</v>
      </c>
      <c r="H525" s="11"/>
      <c r="I525" s="11"/>
      <c r="J525" s="30" t="s">
        <v>1328</v>
      </c>
      <c r="K525" s="30" t="s">
        <v>2388</v>
      </c>
      <c r="L525" s="31">
        <v>42156</v>
      </c>
      <c r="M525" s="30" t="s">
        <v>1935</v>
      </c>
      <c r="N525" s="27" t="s">
        <v>2015</v>
      </c>
      <c r="O525" s="29">
        <v>1</v>
      </c>
      <c r="P525" s="79">
        <v>2815776.6</v>
      </c>
      <c r="Q525" s="10"/>
      <c r="R525" s="5"/>
    </row>
    <row r="526" spans="1:18" s="6" customFormat="1" ht="81" customHeight="1">
      <c r="A526" s="11">
        <v>402</v>
      </c>
      <c r="B526" s="11"/>
      <c r="C526" s="39" t="s">
        <v>2022</v>
      </c>
      <c r="D526" s="17" t="s">
        <v>2023</v>
      </c>
      <c r="E526" s="11">
        <v>540</v>
      </c>
      <c r="F526" s="11"/>
      <c r="G526" s="11" t="s">
        <v>2391</v>
      </c>
      <c r="H526" s="11"/>
      <c r="I526" s="11"/>
      <c r="J526" s="30" t="s">
        <v>1328</v>
      </c>
      <c r="K526" s="30" t="s">
        <v>2392</v>
      </c>
      <c r="L526" s="31">
        <v>42156</v>
      </c>
      <c r="M526" s="30" t="s">
        <v>1935</v>
      </c>
      <c r="N526" s="27" t="s">
        <v>2015</v>
      </c>
      <c r="O526" s="29">
        <v>1</v>
      </c>
      <c r="P526" s="79">
        <v>769883.4</v>
      </c>
      <c r="Q526" s="10"/>
      <c r="R526" s="5"/>
    </row>
    <row r="527" spans="1:16" ht="78.75">
      <c r="A527" s="11">
        <v>403</v>
      </c>
      <c r="B527" s="38"/>
      <c r="C527" s="39" t="s">
        <v>2024</v>
      </c>
      <c r="D527" s="17" t="s">
        <v>2025</v>
      </c>
      <c r="E527" s="11">
        <v>612</v>
      </c>
      <c r="F527" s="11"/>
      <c r="G527" s="11" t="s">
        <v>2385</v>
      </c>
      <c r="H527" s="11"/>
      <c r="I527" s="11"/>
      <c r="J527" s="30" t="s">
        <v>1328</v>
      </c>
      <c r="K527" s="30" t="s">
        <v>2386</v>
      </c>
      <c r="L527" s="31">
        <v>42152</v>
      </c>
      <c r="M527" s="30" t="s">
        <v>1935</v>
      </c>
      <c r="N527" s="27" t="s">
        <v>2015</v>
      </c>
      <c r="O527" s="29">
        <v>1</v>
      </c>
      <c r="P527" s="79">
        <v>872534.52</v>
      </c>
    </row>
    <row r="528" spans="1:16" ht="78.75">
      <c r="A528" s="11">
        <v>404</v>
      </c>
      <c r="B528" s="38"/>
      <c r="C528" s="39" t="s">
        <v>2026</v>
      </c>
      <c r="D528" s="17" t="s">
        <v>2027</v>
      </c>
      <c r="E528" s="11">
        <v>1050</v>
      </c>
      <c r="F528" s="11"/>
      <c r="G528" s="11" t="s">
        <v>2389</v>
      </c>
      <c r="H528" s="11"/>
      <c r="I528" s="11"/>
      <c r="J528" s="30" t="s">
        <v>1328</v>
      </c>
      <c r="K528" s="30" t="s">
        <v>2390</v>
      </c>
      <c r="L528" s="31">
        <v>42156</v>
      </c>
      <c r="M528" s="30" t="s">
        <v>1935</v>
      </c>
      <c r="N528" s="27" t="s">
        <v>2015</v>
      </c>
      <c r="O528" s="29">
        <v>1</v>
      </c>
      <c r="P528" s="79">
        <v>1496995.5</v>
      </c>
    </row>
    <row r="529" spans="1:16" ht="78.75">
      <c r="A529" s="11">
        <v>405</v>
      </c>
      <c r="B529" s="38"/>
      <c r="C529" s="39" t="s">
        <v>2028</v>
      </c>
      <c r="D529" s="17" t="s">
        <v>2029</v>
      </c>
      <c r="E529" s="11">
        <v>730</v>
      </c>
      <c r="F529" s="11"/>
      <c r="G529" s="11" t="s">
        <v>2381</v>
      </c>
      <c r="H529" s="11"/>
      <c r="I529" s="11"/>
      <c r="J529" s="30" t="s">
        <v>1328</v>
      </c>
      <c r="K529" s="30" t="s">
        <v>2382</v>
      </c>
      <c r="L529" s="31">
        <v>42096</v>
      </c>
      <c r="M529" s="30" t="s">
        <v>1935</v>
      </c>
      <c r="N529" s="27" t="s">
        <v>2015</v>
      </c>
      <c r="O529" s="29">
        <v>1</v>
      </c>
      <c r="P529" s="79">
        <v>1040775.6</v>
      </c>
    </row>
    <row r="530" spans="1:16" ht="78.75">
      <c r="A530" s="7">
        <v>406</v>
      </c>
      <c r="B530" s="11"/>
      <c r="C530" s="39" t="s">
        <v>2030</v>
      </c>
      <c r="D530" s="17" t="s">
        <v>2031</v>
      </c>
      <c r="E530" s="11">
        <v>220</v>
      </c>
      <c r="F530" s="11"/>
      <c r="G530" s="11"/>
      <c r="H530" s="11"/>
      <c r="I530" s="11"/>
      <c r="J530" s="30" t="s">
        <v>1328</v>
      </c>
      <c r="K530" s="11"/>
      <c r="L530" s="11"/>
      <c r="M530" s="30" t="s">
        <v>1935</v>
      </c>
      <c r="N530" s="27" t="s">
        <v>2015</v>
      </c>
      <c r="O530" s="29">
        <v>1</v>
      </c>
      <c r="P530" s="79">
        <v>313658.4</v>
      </c>
    </row>
    <row r="531" spans="1:16" ht="78.75">
      <c r="A531" s="11">
        <v>407</v>
      </c>
      <c r="B531" s="45"/>
      <c r="C531" s="39" t="s">
        <v>2032</v>
      </c>
      <c r="D531" s="17" t="s">
        <v>2033</v>
      </c>
      <c r="E531" s="11">
        <v>80</v>
      </c>
      <c r="F531" s="11"/>
      <c r="G531" s="11" t="s">
        <v>2393</v>
      </c>
      <c r="H531" s="11"/>
      <c r="I531" s="11"/>
      <c r="J531" s="30" t="s">
        <v>1328</v>
      </c>
      <c r="K531" s="30" t="s">
        <v>2394</v>
      </c>
      <c r="L531" s="31">
        <v>42156</v>
      </c>
      <c r="M531" s="30" t="s">
        <v>1935</v>
      </c>
      <c r="N531" s="27" t="s">
        <v>2015</v>
      </c>
      <c r="O531" s="29">
        <v>1</v>
      </c>
      <c r="P531" s="79">
        <v>114057.6</v>
      </c>
    </row>
    <row r="532" spans="1:16" ht="78.75">
      <c r="A532" s="11">
        <v>408</v>
      </c>
      <c r="B532" s="45"/>
      <c r="C532" s="39" t="s">
        <v>2034</v>
      </c>
      <c r="D532" s="17" t="s">
        <v>2035</v>
      </c>
      <c r="E532" s="11">
        <v>73</v>
      </c>
      <c r="F532" s="11"/>
      <c r="G532" s="11"/>
      <c r="H532" s="11"/>
      <c r="I532" s="11"/>
      <c r="J532" s="30" t="s">
        <v>1328</v>
      </c>
      <c r="K532" s="11"/>
      <c r="L532" s="11"/>
      <c r="M532" s="30" t="s">
        <v>1935</v>
      </c>
      <c r="N532" s="27" t="s">
        <v>2015</v>
      </c>
      <c r="O532" s="29">
        <v>1</v>
      </c>
      <c r="P532" s="79">
        <v>104077.56</v>
      </c>
    </row>
    <row r="533" spans="1:16" ht="78.75">
      <c r="A533" s="11">
        <v>409</v>
      </c>
      <c r="B533" s="45"/>
      <c r="C533" s="39" t="s">
        <v>2036</v>
      </c>
      <c r="D533" s="17" t="s">
        <v>2037</v>
      </c>
      <c r="E533" s="11">
        <v>270</v>
      </c>
      <c r="F533" s="11"/>
      <c r="G533" s="11"/>
      <c r="H533" s="11"/>
      <c r="I533" s="11"/>
      <c r="J533" s="30" t="s">
        <v>1328</v>
      </c>
      <c r="K533" s="11"/>
      <c r="L533" s="11"/>
      <c r="M533" s="30" t="s">
        <v>1935</v>
      </c>
      <c r="N533" s="27" t="s">
        <v>2015</v>
      </c>
      <c r="O533" s="29">
        <v>1</v>
      </c>
      <c r="P533" s="79">
        <v>384944.4</v>
      </c>
    </row>
    <row r="534" spans="1:16" ht="78.75">
      <c r="A534" s="11">
        <v>410</v>
      </c>
      <c r="B534" s="45"/>
      <c r="C534" s="39" t="s">
        <v>2038</v>
      </c>
      <c r="D534" s="17" t="s">
        <v>2039</v>
      </c>
      <c r="E534" s="11">
        <v>258</v>
      </c>
      <c r="F534" s="11"/>
      <c r="G534" s="11"/>
      <c r="H534" s="11"/>
      <c r="I534" s="11"/>
      <c r="J534" s="30" t="s">
        <v>1328</v>
      </c>
      <c r="K534" s="11"/>
      <c r="L534" s="11"/>
      <c r="M534" s="30" t="s">
        <v>1935</v>
      </c>
      <c r="N534" s="27" t="s">
        <v>2015</v>
      </c>
      <c r="O534" s="29">
        <v>1</v>
      </c>
      <c r="P534" s="79">
        <v>367835.76</v>
      </c>
    </row>
    <row r="535" spans="1:16" ht="78.75">
      <c r="A535" s="11">
        <v>411</v>
      </c>
      <c r="B535" s="45"/>
      <c r="C535" s="39" t="s">
        <v>2040</v>
      </c>
      <c r="D535" s="17" t="s">
        <v>2041</v>
      </c>
      <c r="E535" s="11">
        <v>105</v>
      </c>
      <c r="F535" s="11"/>
      <c r="G535" s="11"/>
      <c r="H535" s="11"/>
      <c r="I535" s="11"/>
      <c r="J535" s="30" t="s">
        <v>1328</v>
      </c>
      <c r="K535" s="11"/>
      <c r="L535" s="11"/>
      <c r="M535" s="30" t="s">
        <v>1935</v>
      </c>
      <c r="N535" s="27" t="s">
        <v>2015</v>
      </c>
      <c r="O535" s="29">
        <v>1</v>
      </c>
      <c r="P535" s="79">
        <v>149700.6</v>
      </c>
    </row>
    <row r="536" spans="1:16" ht="78.75">
      <c r="A536" s="11">
        <v>412</v>
      </c>
      <c r="B536" s="45"/>
      <c r="C536" s="39" t="s">
        <v>2042</v>
      </c>
      <c r="D536" s="17" t="s">
        <v>2043</v>
      </c>
      <c r="E536" s="11">
        <v>185</v>
      </c>
      <c r="F536" s="11"/>
      <c r="G536" s="11"/>
      <c r="H536" s="11"/>
      <c r="I536" s="11"/>
      <c r="J536" s="30" t="s">
        <v>1328</v>
      </c>
      <c r="K536" s="11"/>
      <c r="L536" s="11"/>
      <c r="M536" s="30" t="s">
        <v>1935</v>
      </c>
      <c r="N536" s="27" t="s">
        <v>2015</v>
      </c>
      <c r="O536" s="29">
        <v>1</v>
      </c>
      <c r="P536" s="79">
        <v>263758.2</v>
      </c>
    </row>
    <row r="537" spans="1:16" ht="78.75">
      <c r="A537" s="11">
        <v>413</v>
      </c>
      <c r="B537" s="45"/>
      <c r="C537" s="39" t="s">
        <v>2044</v>
      </c>
      <c r="D537" s="17" t="s">
        <v>2045</v>
      </c>
      <c r="E537" s="11">
        <v>60</v>
      </c>
      <c r="F537" s="11"/>
      <c r="G537" s="11"/>
      <c r="H537" s="11"/>
      <c r="I537" s="11"/>
      <c r="J537" s="30" t="s">
        <v>1328</v>
      </c>
      <c r="K537" s="11"/>
      <c r="L537" s="11"/>
      <c r="M537" s="30" t="s">
        <v>1935</v>
      </c>
      <c r="N537" s="27" t="s">
        <v>2015</v>
      </c>
      <c r="O537" s="29">
        <v>1</v>
      </c>
      <c r="P537" s="79">
        <v>85543.2</v>
      </c>
    </row>
    <row r="538" spans="1:16" ht="78.75">
      <c r="A538" s="11">
        <v>414</v>
      </c>
      <c r="B538" s="45"/>
      <c r="C538" s="39" t="s">
        <v>2046</v>
      </c>
      <c r="D538" s="17" t="s">
        <v>2047</v>
      </c>
      <c r="E538" s="11">
        <v>75</v>
      </c>
      <c r="F538" s="11"/>
      <c r="G538" s="11"/>
      <c r="H538" s="11"/>
      <c r="I538" s="11"/>
      <c r="J538" s="30" t="s">
        <v>1328</v>
      </c>
      <c r="K538" s="11"/>
      <c r="L538" s="11"/>
      <c r="M538" s="30" t="s">
        <v>1935</v>
      </c>
      <c r="N538" s="27" t="s">
        <v>2015</v>
      </c>
      <c r="O538" s="29">
        <v>1</v>
      </c>
      <c r="P538" s="79">
        <v>106929</v>
      </c>
    </row>
    <row r="539" spans="1:16" ht="78.75">
      <c r="A539" s="11">
        <v>415</v>
      </c>
      <c r="B539" s="45"/>
      <c r="C539" s="39" t="s">
        <v>2048</v>
      </c>
      <c r="D539" s="17" t="s">
        <v>2049</v>
      </c>
      <c r="E539" s="11">
        <v>105</v>
      </c>
      <c r="F539" s="11"/>
      <c r="G539" s="11"/>
      <c r="H539" s="11"/>
      <c r="I539" s="11"/>
      <c r="J539" s="30" t="s">
        <v>1328</v>
      </c>
      <c r="K539" s="11"/>
      <c r="L539" s="11"/>
      <c r="M539" s="30" t="s">
        <v>1935</v>
      </c>
      <c r="N539" s="27" t="s">
        <v>2015</v>
      </c>
      <c r="O539" s="29">
        <v>1</v>
      </c>
      <c r="P539" s="79">
        <v>149699.55</v>
      </c>
    </row>
    <row r="540" spans="1:16" ht="78.75">
      <c r="A540" s="11">
        <v>416</v>
      </c>
      <c r="B540" s="45"/>
      <c r="C540" s="39" t="s">
        <v>2050</v>
      </c>
      <c r="D540" s="17" t="s">
        <v>2051</v>
      </c>
      <c r="E540" s="11">
        <v>220</v>
      </c>
      <c r="F540" s="11"/>
      <c r="G540" s="11"/>
      <c r="H540" s="11"/>
      <c r="I540" s="11"/>
      <c r="J540" s="30" t="s">
        <v>1328</v>
      </c>
      <c r="K540" s="11"/>
      <c r="L540" s="11"/>
      <c r="M540" s="30" t="s">
        <v>1935</v>
      </c>
      <c r="N540" s="27" t="s">
        <v>2015</v>
      </c>
      <c r="O540" s="29">
        <v>1</v>
      </c>
      <c r="P540" s="79">
        <v>313658.4</v>
      </c>
    </row>
    <row r="541" spans="1:16" ht="78.75">
      <c r="A541" s="11">
        <v>417</v>
      </c>
      <c r="B541" s="45"/>
      <c r="C541" s="39" t="s">
        <v>2052</v>
      </c>
      <c r="D541" s="17" t="s">
        <v>2053</v>
      </c>
      <c r="E541" s="11">
        <v>120</v>
      </c>
      <c r="F541" s="11"/>
      <c r="G541" s="11"/>
      <c r="H541" s="11"/>
      <c r="I541" s="11"/>
      <c r="J541" s="30" t="s">
        <v>1328</v>
      </c>
      <c r="K541" s="11"/>
      <c r="L541" s="11"/>
      <c r="M541" s="30" t="s">
        <v>1935</v>
      </c>
      <c r="N541" s="27" t="s">
        <v>2015</v>
      </c>
      <c r="O541" s="29">
        <v>1</v>
      </c>
      <c r="P541" s="79">
        <v>171086.4</v>
      </c>
    </row>
    <row r="542" spans="1:16" ht="78.75">
      <c r="A542" s="11">
        <v>418</v>
      </c>
      <c r="B542" s="45"/>
      <c r="C542" s="39" t="s">
        <v>2054</v>
      </c>
      <c r="D542" s="17" t="s">
        <v>2055</v>
      </c>
      <c r="E542" s="11">
        <v>238</v>
      </c>
      <c r="F542" s="11"/>
      <c r="G542" s="11"/>
      <c r="H542" s="11"/>
      <c r="I542" s="11"/>
      <c r="J542" s="30" t="s">
        <v>1328</v>
      </c>
      <c r="K542" s="11"/>
      <c r="L542" s="11"/>
      <c r="M542" s="30" t="s">
        <v>1935</v>
      </c>
      <c r="N542" s="27" t="s">
        <v>2015</v>
      </c>
      <c r="O542" s="29">
        <v>1</v>
      </c>
      <c r="P542" s="79">
        <v>339321.36</v>
      </c>
    </row>
    <row r="543" spans="1:16" ht="78.75">
      <c r="A543" s="11">
        <v>419</v>
      </c>
      <c r="B543" s="45"/>
      <c r="C543" s="39" t="s">
        <v>2056</v>
      </c>
      <c r="D543" s="17" t="s">
        <v>2057</v>
      </c>
      <c r="E543" s="11">
        <v>1210</v>
      </c>
      <c r="F543" s="11"/>
      <c r="G543" s="11" t="s">
        <v>2435</v>
      </c>
      <c r="H543" s="11"/>
      <c r="I543" s="11"/>
      <c r="J543" s="30" t="s">
        <v>2066</v>
      </c>
      <c r="K543" s="30" t="s">
        <v>2436</v>
      </c>
      <c r="L543" s="31">
        <v>42156</v>
      </c>
      <c r="M543" s="30" t="s">
        <v>1935</v>
      </c>
      <c r="N543" s="27" t="s">
        <v>2015</v>
      </c>
      <c r="O543" s="29">
        <v>1</v>
      </c>
      <c r="P543" s="79">
        <v>439084.8</v>
      </c>
    </row>
    <row r="544" spans="1:16" ht="78.75">
      <c r="A544" s="11">
        <v>420</v>
      </c>
      <c r="B544" s="45"/>
      <c r="C544" s="39" t="s">
        <v>2058</v>
      </c>
      <c r="D544" s="17" t="s">
        <v>2059</v>
      </c>
      <c r="E544" s="11">
        <v>1825</v>
      </c>
      <c r="F544" s="11"/>
      <c r="G544" s="11" t="s">
        <v>2421</v>
      </c>
      <c r="H544" s="11"/>
      <c r="I544" s="11"/>
      <c r="J544" s="30" t="s">
        <v>2066</v>
      </c>
      <c r="K544" s="30" t="s">
        <v>2422</v>
      </c>
      <c r="L544" s="31">
        <v>42156</v>
      </c>
      <c r="M544" s="30" t="s">
        <v>1935</v>
      </c>
      <c r="N544" s="27" t="s">
        <v>2015</v>
      </c>
      <c r="O544" s="29">
        <v>1</v>
      </c>
      <c r="P544" s="79">
        <v>662256</v>
      </c>
    </row>
    <row r="545" spans="1:16" ht="78.75">
      <c r="A545" s="11">
        <v>421</v>
      </c>
      <c r="B545" s="45"/>
      <c r="C545" s="39" t="s">
        <v>2060</v>
      </c>
      <c r="D545" s="17" t="s">
        <v>2061</v>
      </c>
      <c r="E545" s="11">
        <v>140</v>
      </c>
      <c r="F545" s="11"/>
      <c r="G545" s="11" t="s">
        <v>2427</v>
      </c>
      <c r="H545" s="11"/>
      <c r="I545" s="11"/>
      <c r="J545" s="30" t="s">
        <v>2066</v>
      </c>
      <c r="K545" s="30" t="s">
        <v>2428</v>
      </c>
      <c r="L545" s="31">
        <v>42156</v>
      </c>
      <c r="M545" s="30" t="s">
        <v>1935</v>
      </c>
      <c r="N545" s="27" t="s">
        <v>2015</v>
      </c>
      <c r="O545" s="29">
        <v>1</v>
      </c>
      <c r="P545" s="79">
        <v>50803.2</v>
      </c>
    </row>
    <row r="546" spans="1:16" ht="78.75">
      <c r="A546" s="11">
        <v>422</v>
      </c>
      <c r="B546" s="45"/>
      <c r="C546" s="39" t="s">
        <v>2062</v>
      </c>
      <c r="D546" s="17" t="s">
        <v>2063</v>
      </c>
      <c r="E546" s="11">
        <v>807</v>
      </c>
      <c r="F546" s="11"/>
      <c r="G546" s="11" t="s">
        <v>2443</v>
      </c>
      <c r="H546" s="11"/>
      <c r="I546" s="11"/>
      <c r="J546" s="30" t="s">
        <v>2066</v>
      </c>
      <c r="K546" s="30" t="s">
        <v>2444</v>
      </c>
      <c r="L546" s="31">
        <v>42156</v>
      </c>
      <c r="M546" s="30" t="s">
        <v>1935</v>
      </c>
      <c r="N546" s="27" t="s">
        <v>2015</v>
      </c>
      <c r="O546" s="29">
        <v>1</v>
      </c>
      <c r="P546" s="79">
        <v>292844.16</v>
      </c>
    </row>
    <row r="547" spans="1:16" ht="78.75">
      <c r="A547" s="11">
        <v>423</v>
      </c>
      <c r="B547" s="45"/>
      <c r="C547" s="39" t="s">
        <v>2064</v>
      </c>
      <c r="D547" s="17" t="s">
        <v>2065</v>
      </c>
      <c r="E547" s="11">
        <v>740</v>
      </c>
      <c r="F547" s="11"/>
      <c r="G547" s="11" t="s">
        <v>2429</v>
      </c>
      <c r="H547" s="11"/>
      <c r="I547" s="11"/>
      <c r="J547" s="30" t="s">
        <v>2066</v>
      </c>
      <c r="K547" s="30" t="s">
        <v>2430</v>
      </c>
      <c r="L547" s="31">
        <v>42156</v>
      </c>
      <c r="M547" s="30" t="s">
        <v>1935</v>
      </c>
      <c r="N547" s="27" t="s">
        <v>2015</v>
      </c>
      <c r="O547" s="29">
        <v>1</v>
      </c>
      <c r="P547" s="79">
        <v>268531.2</v>
      </c>
    </row>
    <row r="548" spans="1:16" ht="78.75">
      <c r="A548" s="7">
        <v>424</v>
      </c>
      <c r="B548" s="45"/>
      <c r="C548" s="39" t="s">
        <v>2067</v>
      </c>
      <c r="D548" s="17" t="s">
        <v>2068</v>
      </c>
      <c r="E548" s="11">
        <v>218</v>
      </c>
      <c r="F548" s="11"/>
      <c r="G548" s="11" t="s">
        <v>2431</v>
      </c>
      <c r="H548" s="11"/>
      <c r="I548" s="11"/>
      <c r="J548" s="30" t="s">
        <v>2066</v>
      </c>
      <c r="K548" s="30" t="s">
        <v>2432</v>
      </c>
      <c r="L548" s="31">
        <v>42156</v>
      </c>
      <c r="M548" s="30" t="s">
        <v>1935</v>
      </c>
      <c r="N548" s="27" t="s">
        <v>2015</v>
      </c>
      <c r="O548" s="29">
        <v>1</v>
      </c>
      <c r="P548" s="79">
        <v>79107.84</v>
      </c>
    </row>
    <row r="549" spans="1:16" ht="78.75">
      <c r="A549" s="11">
        <v>425</v>
      </c>
      <c r="B549" s="45"/>
      <c r="C549" s="39" t="s">
        <v>2069</v>
      </c>
      <c r="D549" s="17" t="s">
        <v>2071</v>
      </c>
      <c r="E549" s="11">
        <v>487</v>
      </c>
      <c r="F549" s="11"/>
      <c r="G549" s="11" t="s">
        <v>2433</v>
      </c>
      <c r="H549" s="11"/>
      <c r="I549" s="11"/>
      <c r="J549" s="30" t="s">
        <v>2066</v>
      </c>
      <c r="K549" s="30" t="s">
        <v>2434</v>
      </c>
      <c r="L549" s="31">
        <v>42353</v>
      </c>
      <c r="M549" s="30" t="s">
        <v>1935</v>
      </c>
      <c r="N549" s="27" t="s">
        <v>2015</v>
      </c>
      <c r="O549" s="29">
        <v>1</v>
      </c>
      <c r="P549" s="79">
        <v>176722.56</v>
      </c>
    </row>
    <row r="550" spans="1:16" ht="78.75">
      <c r="A550" s="7">
        <v>426</v>
      </c>
      <c r="B550" s="45"/>
      <c r="C550" s="39" t="s">
        <v>2070</v>
      </c>
      <c r="D550" s="17" t="s">
        <v>2072</v>
      </c>
      <c r="E550" s="11">
        <v>265</v>
      </c>
      <c r="F550" s="11"/>
      <c r="G550" s="11"/>
      <c r="H550" s="11"/>
      <c r="I550" s="11"/>
      <c r="J550" s="30" t="s">
        <v>2066</v>
      </c>
      <c r="K550" s="11"/>
      <c r="L550" s="11"/>
      <c r="M550" s="30" t="s">
        <v>1935</v>
      </c>
      <c r="N550" s="27" t="s">
        <v>2015</v>
      </c>
      <c r="O550" s="29">
        <v>1</v>
      </c>
      <c r="P550" s="79">
        <v>96163.2</v>
      </c>
    </row>
    <row r="551" spans="1:16" ht="78.75">
      <c r="A551" s="11">
        <v>427</v>
      </c>
      <c r="B551" s="45"/>
      <c r="C551" s="39" t="s">
        <v>2073</v>
      </c>
      <c r="D551" s="17" t="s">
        <v>2075</v>
      </c>
      <c r="E551" s="11">
        <v>465</v>
      </c>
      <c r="F551" s="11"/>
      <c r="G551" s="11" t="s">
        <v>2439</v>
      </c>
      <c r="H551" s="11"/>
      <c r="I551" s="11"/>
      <c r="J551" s="30" t="s">
        <v>2066</v>
      </c>
      <c r="K551" s="30" t="s">
        <v>2440</v>
      </c>
      <c r="L551" s="31">
        <v>42353</v>
      </c>
      <c r="M551" s="30" t="s">
        <v>1935</v>
      </c>
      <c r="N551" s="27" t="s">
        <v>2015</v>
      </c>
      <c r="O551" s="29">
        <v>1</v>
      </c>
      <c r="P551" s="79">
        <v>168739.2</v>
      </c>
    </row>
    <row r="552" spans="1:16" ht="78.75">
      <c r="A552" s="11">
        <v>428</v>
      </c>
      <c r="B552" s="45"/>
      <c r="C552" s="39" t="s">
        <v>2074</v>
      </c>
      <c r="D552" s="17" t="s">
        <v>2076</v>
      </c>
      <c r="E552" s="11">
        <v>250</v>
      </c>
      <c r="F552" s="11"/>
      <c r="G552" s="11" t="s">
        <v>2447</v>
      </c>
      <c r="H552" s="11"/>
      <c r="I552" s="11"/>
      <c r="J552" s="30" t="s">
        <v>2066</v>
      </c>
      <c r="K552" s="30" t="s">
        <v>2448</v>
      </c>
      <c r="L552" s="31">
        <v>42353</v>
      </c>
      <c r="M552" s="30" t="s">
        <v>1935</v>
      </c>
      <c r="N552" s="27" t="s">
        <v>2015</v>
      </c>
      <c r="O552" s="29">
        <v>1</v>
      </c>
      <c r="P552" s="79">
        <v>90720</v>
      </c>
    </row>
    <row r="553" spans="1:16" ht="78.75">
      <c r="A553" s="11">
        <v>429</v>
      </c>
      <c r="B553" s="45"/>
      <c r="C553" s="39" t="s">
        <v>2077</v>
      </c>
      <c r="D553" s="17" t="s">
        <v>2078</v>
      </c>
      <c r="E553" s="11">
        <v>138</v>
      </c>
      <c r="F553" s="11"/>
      <c r="G553" s="11" t="s">
        <v>2423</v>
      </c>
      <c r="H553" s="11"/>
      <c r="I553" s="11"/>
      <c r="J553" s="30" t="s">
        <v>2066</v>
      </c>
      <c r="K553" s="30" t="s">
        <v>2424</v>
      </c>
      <c r="L553" s="31">
        <v>42356</v>
      </c>
      <c r="M553" s="30" t="s">
        <v>1935</v>
      </c>
      <c r="N553" s="27" t="s">
        <v>2015</v>
      </c>
      <c r="O553" s="29">
        <v>1</v>
      </c>
      <c r="P553" s="79">
        <v>50077.44</v>
      </c>
    </row>
    <row r="554" spans="1:16" ht="78.75">
      <c r="A554" s="11">
        <v>430</v>
      </c>
      <c r="B554" s="45"/>
      <c r="C554" s="39" t="s">
        <v>2079</v>
      </c>
      <c r="D554" s="17" t="s">
        <v>2080</v>
      </c>
      <c r="E554" s="11">
        <v>180</v>
      </c>
      <c r="F554" s="11"/>
      <c r="G554" s="11" t="s">
        <v>2441</v>
      </c>
      <c r="H554" s="11"/>
      <c r="I554" s="11"/>
      <c r="J554" s="30" t="s">
        <v>2066</v>
      </c>
      <c r="K554" s="30" t="s">
        <v>2442</v>
      </c>
      <c r="L554" s="31">
        <v>42353</v>
      </c>
      <c r="M554" s="30" t="s">
        <v>1935</v>
      </c>
      <c r="N554" s="27" t="s">
        <v>2015</v>
      </c>
      <c r="O554" s="29">
        <v>1</v>
      </c>
      <c r="P554" s="79">
        <v>65318.4</v>
      </c>
    </row>
    <row r="555" spans="1:16" ht="78.75">
      <c r="A555" s="11">
        <v>431</v>
      </c>
      <c r="B555" s="45"/>
      <c r="C555" s="39" t="s">
        <v>2081</v>
      </c>
      <c r="D555" s="17" t="s">
        <v>2082</v>
      </c>
      <c r="E555" s="11">
        <v>90</v>
      </c>
      <c r="F555" s="11"/>
      <c r="G555" s="11" t="s">
        <v>2425</v>
      </c>
      <c r="H555" s="11"/>
      <c r="I555" s="11"/>
      <c r="J555" s="30" t="s">
        <v>2066</v>
      </c>
      <c r="K555" s="30" t="s">
        <v>2426</v>
      </c>
      <c r="L555" s="31">
        <v>42356</v>
      </c>
      <c r="M555" s="30" t="s">
        <v>1935</v>
      </c>
      <c r="N555" s="27" t="s">
        <v>2015</v>
      </c>
      <c r="O555" s="29">
        <v>1</v>
      </c>
      <c r="P555" s="79">
        <v>32659.2</v>
      </c>
    </row>
    <row r="556" spans="1:16" ht="78.75">
      <c r="A556" s="11">
        <v>432</v>
      </c>
      <c r="B556" s="45"/>
      <c r="C556" s="39" t="s">
        <v>2083</v>
      </c>
      <c r="D556" s="17" t="s">
        <v>2084</v>
      </c>
      <c r="E556" s="11">
        <v>153</v>
      </c>
      <c r="F556" s="11"/>
      <c r="G556" s="11" t="s">
        <v>2417</v>
      </c>
      <c r="H556" s="11"/>
      <c r="I556" s="11"/>
      <c r="J556" s="30" t="s">
        <v>2066</v>
      </c>
      <c r="K556" s="30" t="s">
        <v>2418</v>
      </c>
      <c r="L556" s="31">
        <v>42156</v>
      </c>
      <c r="M556" s="30" t="s">
        <v>1935</v>
      </c>
      <c r="N556" s="27" t="s">
        <v>2015</v>
      </c>
      <c r="O556" s="29">
        <v>1</v>
      </c>
      <c r="P556" s="79">
        <v>55520</v>
      </c>
    </row>
    <row r="557" spans="1:16" ht="78.75">
      <c r="A557" s="11">
        <v>433</v>
      </c>
      <c r="B557" s="45"/>
      <c r="C557" s="39" t="s">
        <v>2085</v>
      </c>
      <c r="D557" s="17" t="s">
        <v>2086</v>
      </c>
      <c r="E557" s="11">
        <v>45</v>
      </c>
      <c r="F557" s="11"/>
      <c r="G557" s="11" t="s">
        <v>2437</v>
      </c>
      <c r="H557" s="11"/>
      <c r="I557" s="11"/>
      <c r="J557" s="30" t="s">
        <v>2066</v>
      </c>
      <c r="K557" s="30" t="s">
        <v>2438</v>
      </c>
      <c r="L557" s="31">
        <v>42355</v>
      </c>
      <c r="M557" s="30" t="s">
        <v>1935</v>
      </c>
      <c r="N557" s="27" t="s">
        <v>2015</v>
      </c>
      <c r="O557" s="29">
        <v>1</v>
      </c>
      <c r="P557" s="79">
        <v>16329.6</v>
      </c>
    </row>
    <row r="558" spans="1:16" ht="78.75">
      <c r="A558" s="11">
        <v>434</v>
      </c>
      <c r="B558" s="45"/>
      <c r="C558" s="39" t="s">
        <v>2087</v>
      </c>
      <c r="D558" s="17" t="s">
        <v>2088</v>
      </c>
      <c r="E558" s="11">
        <v>180</v>
      </c>
      <c r="F558" s="11"/>
      <c r="G558" s="11" t="s">
        <v>2419</v>
      </c>
      <c r="H558" s="11"/>
      <c r="I558" s="11"/>
      <c r="J558" s="30" t="s">
        <v>2066</v>
      </c>
      <c r="K558" s="30" t="s">
        <v>2420</v>
      </c>
      <c r="L558" s="31">
        <v>42355</v>
      </c>
      <c r="M558" s="30" t="s">
        <v>1935</v>
      </c>
      <c r="N558" s="27" t="s">
        <v>2015</v>
      </c>
      <c r="O558" s="29">
        <v>1</v>
      </c>
      <c r="P558" s="79">
        <v>65318.4</v>
      </c>
    </row>
    <row r="559" spans="1:16" ht="78.75">
      <c r="A559" s="11">
        <v>435</v>
      </c>
      <c r="B559" s="45"/>
      <c r="C559" s="39" t="s">
        <v>2089</v>
      </c>
      <c r="D559" s="17" t="s">
        <v>2090</v>
      </c>
      <c r="E559" s="11">
        <v>205</v>
      </c>
      <c r="F559" s="11"/>
      <c r="G559" s="11" t="s">
        <v>2445</v>
      </c>
      <c r="H559" s="11"/>
      <c r="I559" s="11"/>
      <c r="J559" s="30" t="s">
        <v>2066</v>
      </c>
      <c r="K559" s="30" t="s">
        <v>2446</v>
      </c>
      <c r="L559" s="31">
        <v>42355</v>
      </c>
      <c r="M559" s="30" t="s">
        <v>1935</v>
      </c>
      <c r="N559" s="27" t="s">
        <v>2015</v>
      </c>
      <c r="O559" s="29">
        <v>1</v>
      </c>
      <c r="P559" s="79">
        <v>74390.4</v>
      </c>
    </row>
    <row r="560" spans="1:16" ht="78.75">
      <c r="A560" s="11">
        <v>436</v>
      </c>
      <c r="B560" s="45"/>
      <c r="C560" s="39" t="s">
        <v>2091</v>
      </c>
      <c r="D560" s="17" t="s">
        <v>2092</v>
      </c>
      <c r="E560" s="11">
        <v>995</v>
      </c>
      <c r="F560" s="11"/>
      <c r="G560" s="11" t="s">
        <v>2377</v>
      </c>
      <c r="H560" s="11"/>
      <c r="I560" s="11"/>
      <c r="J560" s="30" t="s">
        <v>2105</v>
      </c>
      <c r="K560" s="30" t="s">
        <v>2378</v>
      </c>
      <c r="L560" s="31">
        <v>42350</v>
      </c>
      <c r="M560" s="30" t="s">
        <v>1935</v>
      </c>
      <c r="N560" s="27" t="s">
        <v>2015</v>
      </c>
      <c r="O560" s="29">
        <v>1</v>
      </c>
      <c r="P560" s="79">
        <v>382756.6</v>
      </c>
    </row>
    <row r="561" spans="1:16" ht="78.75">
      <c r="A561" s="11">
        <v>437</v>
      </c>
      <c r="B561" s="45"/>
      <c r="C561" s="39" t="s">
        <v>2093</v>
      </c>
      <c r="D561" s="17" t="s">
        <v>2094</v>
      </c>
      <c r="E561" s="11">
        <v>325</v>
      </c>
      <c r="F561" s="11"/>
      <c r="G561" s="11" t="s">
        <v>2375</v>
      </c>
      <c r="H561" s="11"/>
      <c r="I561" s="11"/>
      <c r="J561" s="30" t="s">
        <v>2105</v>
      </c>
      <c r="K561" s="30" t="s">
        <v>2376</v>
      </c>
      <c r="L561" s="31">
        <v>42353</v>
      </c>
      <c r="M561" s="30" t="s">
        <v>1935</v>
      </c>
      <c r="N561" s="27" t="s">
        <v>2015</v>
      </c>
      <c r="O561" s="29">
        <v>1</v>
      </c>
      <c r="P561" s="79">
        <v>125021</v>
      </c>
    </row>
    <row r="562" spans="1:16" ht="78.75">
      <c r="A562" s="11">
        <v>438</v>
      </c>
      <c r="B562" s="45"/>
      <c r="C562" s="39" t="s">
        <v>2095</v>
      </c>
      <c r="D562" s="17" t="s">
        <v>2096</v>
      </c>
      <c r="E562" s="11">
        <v>366</v>
      </c>
      <c r="F562" s="11"/>
      <c r="G562" s="11" t="s">
        <v>2373</v>
      </c>
      <c r="H562" s="11"/>
      <c r="I562" s="11"/>
      <c r="J562" s="30" t="s">
        <v>2105</v>
      </c>
      <c r="K562" s="30" t="s">
        <v>2374</v>
      </c>
      <c r="L562" s="31">
        <v>42353</v>
      </c>
      <c r="M562" s="30" t="s">
        <v>1935</v>
      </c>
      <c r="N562" s="27" t="s">
        <v>2015</v>
      </c>
      <c r="O562" s="29">
        <v>1</v>
      </c>
      <c r="P562" s="79">
        <v>140792.88</v>
      </c>
    </row>
    <row r="563" spans="1:16" ht="78.75">
      <c r="A563" s="11">
        <v>439</v>
      </c>
      <c r="B563" s="45"/>
      <c r="C563" s="39" t="s">
        <v>2097</v>
      </c>
      <c r="D563" s="17" t="s">
        <v>2098</v>
      </c>
      <c r="E563" s="11">
        <v>290</v>
      </c>
      <c r="F563" s="11"/>
      <c r="G563" s="11" t="s">
        <v>2371</v>
      </c>
      <c r="H563" s="11"/>
      <c r="I563" s="11"/>
      <c r="J563" s="30" t="s">
        <v>2105</v>
      </c>
      <c r="K563" s="30" t="s">
        <v>2372</v>
      </c>
      <c r="L563" s="31">
        <v>42350</v>
      </c>
      <c r="M563" s="30" t="s">
        <v>1935</v>
      </c>
      <c r="N563" s="27" t="s">
        <v>2015</v>
      </c>
      <c r="O563" s="29">
        <v>1</v>
      </c>
      <c r="P563" s="79">
        <v>111560.1</v>
      </c>
    </row>
    <row r="564" spans="1:16" ht="78.75">
      <c r="A564" s="11">
        <v>440</v>
      </c>
      <c r="B564" s="45"/>
      <c r="C564" s="39" t="s">
        <v>2099</v>
      </c>
      <c r="D564" s="17" t="s">
        <v>2100</v>
      </c>
      <c r="E564" s="11">
        <v>125</v>
      </c>
      <c r="F564" s="11"/>
      <c r="G564" s="11" t="s">
        <v>2366</v>
      </c>
      <c r="H564" s="11"/>
      <c r="I564" s="11"/>
      <c r="J564" s="30" t="s">
        <v>2105</v>
      </c>
      <c r="K564" s="30" t="s">
        <v>2365</v>
      </c>
      <c r="L564" s="31">
        <v>42350</v>
      </c>
      <c r="M564" s="30" t="s">
        <v>1935</v>
      </c>
      <c r="N564" s="27" t="s">
        <v>2015</v>
      </c>
      <c r="O564" s="29">
        <v>1</v>
      </c>
      <c r="P564" s="79">
        <v>48086.22</v>
      </c>
    </row>
    <row r="565" spans="1:16" ht="78.75">
      <c r="A565" s="11">
        <v>441</v>
      </c>
      <c r="B565" s="45"/>
      <c r="C565" s="39" t="s">
        <v>2101</v>
      </c>
      <c r="D565" s="17" t="s">
        <v>2102</v>
      </c>
      <c r="E565" s="11">
        <v>120</v>
      </c>
      <c r="F565" s="11"/>
      <c r="G565" s="11" t="s">
        <v>2367</v>
      </c>
      <c r="H565" s="11"/>
      <c r="I565" s="11"/>
      <c r="J565" s="30" t="s">
        <v>2105</v>
      </c>
      <c r="K565" s="30" t="s">
        <v>2368</v>
      </c>
      <c r="L565" s="31">
        <v>42350</v>
      </c>
      <c r="M565" s="30" t="s">
        <v>1935</v>
      </c>
      <c r="N565" s="27" t="s">
        <v>2015</v>
      </c>
      <c r="O565" s="29">
        <v>1</v>
      </c>
      <c r="P565" s="79">
        <v>46162.8</v>
      </c>
    </row>
    <row r="566" spans="1:16" ht="78.75">
      <c r="A566" s="11">
        <v>442</v>
      </c>
      <c r="B566" s="45"/>
      <c r="C566" s="39" t="s">
        <v>2103</v>
      </c>
      <c r="D566" s="17" t="s">
        <v>2104</v>
      </c>
      <c r="E566" s="11">
        <v>120</v>
      </c>
      <c r="F566" s="11"/>
      <c r="G566" s="11" t="s">
        <v>2369</v>
      </c>
      <c r="H566" s="11"/>
      <c r="I566" s="11"/>
      <c r="J566" s="30" t="s">
        <v>2105</v>
      </c>
      <c r="K566" s="30" t="s">
        <v>2370</v>
      </c>
      <c r="L566" s="31">
        <v>42194</v>
      </c>
      <c r="M566" s="30" t="s">
        <v>1935</v>
      </c>
      <c r="N566" s="27" t="s">
        <v>2015</v>
      </c>
      <c r="O566" s="29">
        <v>1</v>
      </c>
      <c r="P566" s="79">
        <v>26927.6</v>
      </c>
    </row>
    <row r="567" spans="1:16" ht="78.75">
      <c r="A567" s="11">
        <v>443</v>
      </c>
      <c r="B567" s="45"/>
      <c r="C567" s="39" t="s">
        <v>2106</v>
      </c>
      <c r="D567" s="17" t="s">
        <v>2107</v>
      </c>
      <c r="E567" s="11">
        <v>635</v>
      </c>
      <c r="F567" s="11"/>
      <c r="G567" s="11" t="s">
        <v>2405</v>
      </c>
      <c r="H567" s="11"/>
      <c r="I567" s="11"/>
      <c r="J567" s="30" t="s">
        <v>2108</v>
      </c>
      <c r="K567" s="30" t="s">
        <v>2406</v>
      </c>
      <c r="L567" s="31">
        <v>42350</v>
      </c>
      <c r="M567" s="30" t="s">
        <v>1935</v>
      </c>
      <c r="N567" s="27" t="s">
        <v>2015</v>
      </c>
      <c r="O567" s="29">
        <v>1</v>
      </c>
      <c r="P567" s="79">
        <v>335343.5</v>
      </c>
    </row>
    <row r="568" spans="1:16" ht="78.75">
      <c r="A568" s="11">
        <v>444</v>
      </c>
      <c r="B568" s="45"/>
      <c r="C568" s="39" t="s">
        <v>2109</v>
      </c>
      <c r="D568" s="17" t="s">
        <v>2110</v>
      </c>
      <c r="E568" s="11">
        <v>1335</v>
      </c>
      <c r="F568" s="11"/>
      <c r="G568" s="11" t="s">
        <v>2397</v>
      </c>
      <c r="H568" s="11"/>
      <c r="I568" s="11"/>
      <c r="J568" s="30" t="s">
        <v>2108</v>
      </c>
      <c r="K568" s="30" t="s">
        <v>2398</v>
      </c>
      <c r="L568" s="31">
        <v>42350</v>
      </c>
      <c r="M568" s="30" t="s">
        <v>1935</v>
      </c>
      <c r="N568" s="27" t="s">
        <v>2015</v>
      </c>
      <c r="O568" s="29">
        <v>1</v>
      </c>
      <c r="P568" s="79">
        <v>705013.5</v>
      </c>
    </row>
    <row r="569" spans="1:16" ht="78.75">
      <c r="A569" s="11">
        <v>445</v>
      </c>
      <c r="B569" s="45"/>
      <c r="C569" s="39" t="s">
        <v>2111</v>
      </c>
      <c r="D569" s="17" t="s">
        <v>2112</v>
      </c>
      <c r="E569" s="11">
        <v>846</v>
      </c>
      <c r="F569" s="11"/>
      <c r="G569" s="11" t="s">
        <v>2411</v>
      </c>
      <c r="H569" s="11"/>
      <c r="I569" s="11"/>
      <c r="J569" s="30" t="s">
        <v>2108</v>
      </c>
      <c r="K569" s="30" t="s">
        <v>2412</v>
      </c>
      <c r="L569" s="31">
        <v>42350</v>
      </c>
      <c r="M569" s="30" t="s">
        <v>1935</v>
      </c>
      <c r="N569" s="27" t="s">
        <v>2015</v>
      </c>
      <c r="O569" s="29">
        <v>1</v>
      </c>
      <c r="P569" s="79">
        <v>446772.6</v>
      </c>
    </row>
    <row r="570" spans="1:16" ht="78.75">
      <c r="A570" s="11">
        <v>446</v>
      </c>
      <c r="B570" s="45"/>
      <c r="C570" s="39" t="s">
        <v>2113</v>
      </c>
      <c r="D570" s="17" t="s">
        <v>2114</v>
      </c>
      <c r="E570" s="11">
        <v>235</v>
      </c>
      <c r="F570" s="11"/>
      <c r="G570" s="11" t="s">
        <v>2415</v>
      </c>
      <c r="H570" s="11"/>
      <c r="I570" s="11"/>
      <c r="J570" s="30" t="s">
        <v>2108</v>
      </c>
      <c r="K570" s="30" t="s">
        <v>2416</v>
      </c>
      <c r="L570" s="31">
        <v>42350</v>
      </c>
      <c r="M570" s="30" t="s">
        <v>1935</v>
      </c>
      <c r="N570" s="27" t="s">
        <v>2015</v>
      </c>
      <c r="O570" s="29">
        <v>1</v>
      </c>
      <c r="P570" s="79">
        <v>124103.5</v>
      </c>
    </row>
    <row r="571" spans="1:16" ht="78.75">
      <c r="A571" s="11">
        <v>447</v>
      </c>
      <c r="B571" s="45"/>
      <c r="C571" s="39" t="s">
        <v>2115</v>
      </c>
      <c r="D571" s="17" t="s">
        <v>2116</v>
      </c>
      <c r="E571" s="11">
        <v>278</v>
      </c>
      <c r="F571" s="11"/>
      <c r="G571" s="11" t="s">
        <v>2399</v>
      </c>
      <c r="H571" s="11"/>
      <c r="I571" s="11"/>
      <c r="J571" s="30" t="s">
        <v>2108</v>
      </c>
      <c r="K571" s="30" t="s">
        <v>2400</v>
      </c>
      <c r="L571" s="31">
        <v>42350</v>
      </c>
      <c r="M571" s="30" t="s">
        <v>1935</v>
      </c>
      <c r="N571" s="27" t="s">
        <v>2015</v>
      </c>
      <c r="O571" s="29">
        <v>1</v>
      </c>
      <c r="P571" s="79">
        <v>146814.58</v>
      </c>
    </row>
    <row r="572" spans="1:16" ht="78.75">
      <c r="A572" s="11">
        <v>448</v>
      </c>
      <c r="B572" s="45"/>
      <c r="C572" s="39" t="s">
        <v>2117</v>
      </c>
      <c r="D572" s="17" t="s">
        <v>2118</v>
      </c>
      <c r="E572" s="11">
        <v>270</v>
      </c>
      <c r="F572" s="11"/>
      <c r="G572" s="11" t="s">
        <v>2413</v>
      </c>
      <c r="H572" s="11"/>
      <c r="I572" s="11"/>
      <c r="J572" s="30" t="s">
        <v>2108</v>
      </c>
      <c r="K572" s="30" t="s">
        <v>2414</v>
      </c>
      <c r="L572" s="31">
        <v>42350</v>
      </c>
      <c r="M572" s="30" t="s">
        <v>1935</v>
      </c>
      <c r="N572" s="27" t="s">
        <v>2015</v>
      </c>
      <c r="O572" s="29">
        <v>1</v>
      </c>
      <c r="P572" s="79">
        <v>142589.7</v>
      </c>
    </row>
    <row r="573" spans="1:16" ht="78.75">
      <c r="A573" s="11">
        <v>449</v>
      </c>
      <c r="B573" s="45"/>
      <c r="C573" s="39" t="s">
        <v>2119</v>
      </c>
      <c r="D573" s="17" t="s">
        <v>2120</v>
      </c>
      <c r="E573" s="11">
        <v>377</v>
      </c>
      <c r="F573" s="11"/>
      <c r="G573" s="11" t="s">
        <v>2401</v>
      </c>
      <c r="H573" s="11"/>
      <c r="I573" s="11"/>
      <c r="J573" s="30" t="s">
        <v>2108</v>
      </c>
      <c r="K573" s="30" t="s">
        <v>2402</v>
      </c>
      <c r="L573" s="31">
        <v>42349</v>
      </c>
      <c r="M573" s="30" t="s">
        <v>1935</v>
      </c>
      <c r="N573" s="27" t="s">
        <v>2015</v>
      </c>
      <c r="O573" s="29">
        <v>1</v>
      </c>
      <c r="P573" s="79">
        <v>199097.47</v>
      </c>
    </row>
    <row r="574" spans="1:16" ht="78.75">
      <c r="A574" s="11">
        <v>450</v>
      </c>
      <c r="B574" s="45"/>
      <c r="C574" s="39" t="s">
        <v>2121</v>
      </c>
      <c r="D574" s="17" t="s">
        <v>2122</v>
      </c>
      <c r="E574" s="11">
        <v>100</v>
      </c>
      <c r="F574" s="11"/>
      <c r="G574" s="11" t="s">
        <v>2409</v>
      </c>
      <c r="H574" s="11"/>
      <c r="I574" s="11"/>
      <c r="J574" s="30" t="s">
        <v>2108</v>
      </c>
      <c r="K574" s="30" t="s">
        <v>2410</v>
      </c>
      <c r="L574" s="31">
        <v>42349</v>
      </c>
      <c r="M574" s="30" t="s">
        <v>1935</v>
      </c>
      <c r="N574" s="27" t="s">
        <v>2015</v>
      </c>
      <c r="O574" s="29">
        <v>1</v>
      </c>
      <c r="P574" s="79">
        <v>52811</v>
      </c>
    </row>
    <row r="575" spans="1:16" ht="78.75">
      <c r="A575" s="11">
        <v>451</v>
      </c>
      <c r="B575" s="45"/>
      <c r="C575" s="39" t="s">
        <v>2123</v>
      </c>
      <c r="D575" s="17" t="s">
        <v>2124</v>
      </c>
      <c r="E575" s="11">
        <v>65</v>
      </c>
      <c r="F575" s="11"/>
      <c r="G575" s="11"/>
      <c r="H575" s="11"/>
      <c r="I575" s="11"/>
      <c r="J575" s="30" t="s">
        <v>2108</v>
      </c>
      <c r="K575" s="11"/>
      <c r="L575" s="11"/>
      <c r="M575" s="30" t="s">
        <v>1935</v>
      </c>
      <c r="N575" s="27" t="s">
        <v>2015</v>
      </c>
      <c r="O575" s="29">
        <v>1</v>
      </c>
      <c r="P575" s="79">
        <v>34327.15</v>
      </c>
    </row>
    <row r="576" spans="1:16" ht="78.75">
      <c r="A576" s="11">
        <v>452</v>
      </c>
      <c r="B576" s="45"/>
      <c r="C576" s="39" t="s">
        <v>2125</v>
      </c>
      <c r="D576" s="17" t="s">
        <v>2126</v>
      </c>
      <c r="E576" s="11">
        <v>120</v>
      </c>
      <c r="F576" s="11"/>
      <c r="G576" s="11" t="s">
        <v>2407</v>
      </c>
      <c r="H576" s="11"/>
      <c r="I576" s="11"/>
      <c r="J576" s="30" t="s">
        <v>2108</v>
      </c>
      <c r="K576" s="30" t="s">
        <v>2408</v>
      </c>
      <c r="L576" s="31">
        <v>42353</v>
      </c>
      <c r="M576" s="30" t="s">
        <v>1935</v>
      </c>
      <c r="N576" s="27" t="s">
        <v>2015</v>
      </c>
      <c r="O576" s="29">
        <v>1</v>
      </c>
      <c r="P576" s="79">
        <v>63373.2</v>
      </c>
    </row>
    <row r="577" spans="1:16" ht="78.75">
      <c r="A577" s="11">
        <v>453</v>
      </c>
      <c r="B577" s="45"/>
      <c r="C577" s="39" t="s">
        <v>2127</v>
      </c>
      <c r="D577" s="17" t="s">
        <v>2128</v>
      </c>
      <c r="E577" s="11">
        <v>397</v>
      </c>
      <c r="F577" s="11"/>
      <c r="G577" s="11" t="s">
        <v>2403</v>
      </c>
      <c r="H577" s="11"/>
      <c r="I577" s="11"/>
      <c r="J577" s="30" t="s">
        <v>2108</v>
      </c>
      <c r="K577" s="30" t="s">
        <v>2404</v>
      </c>
      <c r="L577" s="31">
        <v>42353</v>
      </c>
      <c r="M577" s="30" t="s">
        <v>1935</v>
      </c>
      <c r="N577" s="27" t="s">
        <v>2015</v>
      </c>
      <c r="O577" s="29">
        <v>1</v>
      </c>
      <c r="P577" s="79">
        <v>209659.3</v>
      </c>
    </row>
    <row r="578" spans="1:16" ht="78.75">
      <c r="A578" s="11">
        <v>454</v>
      </c>
      <c r="B578" s="45"/>
      <c r="C578" s="39" t="s">
        <v>2129</v>
      </c>
      <c r="D578" s="17" t="s">
        <v>2130</v>
      </c>
      <c r="E578" s="11">
        <v>300</v>
      </c>
      <c r="F578" s="11"/>
      <c r="G578" s="11"/>
      <c r="H578" s="11"/>
      <c r="I578" s="11"/>
      <c r="J578" s="30" t="s">
        <v>2108</v>
      </c>
      <c r="K578" s="11"/>
      <c r="L578" s="11"/>
      <c r="M578" s="30" t="s">
        <v>1935</v>
      </c>
      <c r="N578" s="27" t="s">
        <v>2015</v>
      </c>
      <c r="O578" s="29">
        <v>1</v>
      </c>
      <c r="P578" s="79">
        <v>158433</v>
      </c>
    </row>
    <row r="579" spans="1:16" ht="47.25">
      <c r="A579" s="11">
        <v>455</v>
      </c>
      <c r="B579" s="45"/>
      <c r="C579" s="36" t="s">
        <v>2142</v>
      </c>
      <c r="D579" s="25" t="s">
        <v>1532</v>
      </c>
      <c r="E579" s="29">
        <v>30</v>
      </c>
      <c r="F579" s="29"/>
      <c r="G579" s="30" t="s">
        <v>2143</v>
      </c>
      <c r="H579" s="29"/>
      <c r="I579" s="29"/>
      <c r="J579" s="30" t="s">
        <v>2144</v>
      </c>
      <c r="K579" s="25"/>
      <c r="L579" s="31">
        <v>43234</v>
      </c>
      <c r="M579" s="30" t="s">
        <v>1935</v>
      </c>
      <c r="N579" s="27" t="s">
        <v>2145</v>
      </c>
      <c r="O579" s="29">
        <v>1</v>
      </c>
      <c r="P579" s="79">
        <v>883021.82</v>
      </c>
    </row>
    <row r="580" spans="1:16" ht="47.25">
      <c r="A580" s="11">
        <v>456</v>
      </c>
      <c r="B580" s="45"/>
      <c r="C580" s="39" t="s">
        <v>2464</v>
      </c>
      <c r="D580" s="17" t="s">
        <v>2459</v>
      </c>
      <c r="E580" s="11">
        <v>213</v>
      </c>
      <c r="F580" s="11"/>
      <c r="G580" s="11" t="s">
        <v>2460</v>
      </c>
      <c r="H580" s="11"/>
      <c r="I580" s="11"/>
      <c r="J580" s="30" t="s">
        <v>2461</v>
      </c>
      <c r="K580" s="17" t="s">
        <v>2462</v>
      </c>
      <c r="L580" s="31">
        <v>44182</v>
      </c>
      <c r="M580" s="30" t="s">
        <v>1935</v>
      </c>
      <c r="N580" s="27" t="s">
        <v>2463</v>
      </c>
      <c r="O580" s="29">
        <v>1</v>
      </c>
      <c r="P580" s="79">
        <v>3609657.68</v>
      </c>
    </row>
    <row r="581" spans="1:16" ht="47.25">
      <c r="A581" s="11">
        <v>457</v>
      </c>
      <c r="B581" s="45"/>
      <c r="C581" s="39" t="s">
        <v>2465</v>
      </c>
      <c r="D581" s="17" t="s">
        <v>2466</v>
      </c>
      <c r="E581" s="11">
        <v>652</v>
      </c>
      <c r="F581" s="11"/>
      <c r="G581" s="11" t="s">
        <v>2467</v>
      </c>
      <c r="H581" s="11"/>
      <c r="I581" s="11"/>
      <c r="J581" s="30" t="s">
        <v>2461</v>
      </c>
      <c r="K581" s="17" t="s">
        <v>2471</v>
      </c>
      <c r="L581" s="31">
        <v>44186</v>
      </c>
      <c r="M581" s="30" t="s">
        <v>1935</v>
      </c>
      <c r="N581" s="27" t="s">
        <v>2463</v>
      </c>
      <c r="O581" s="29">
        <v>1</v>
      </c>
      <c r="P581" s="79">
        <v>11120544.52</v>
      </c>
    </row>
    <row r="582" spans="1:16" ht="47.25">
      <c r="A582" s="11">
        <v>458</v>
      </c>
      <c r="B582" s="45"/>
      <c r="C582" s="39" t="s">
        <v>2468</v>
      </c>
      <c r="D582" s="17" t="s">
        <v>2469</v>
      </c>
      <c r="E582" s="11">
        <v>1053</v>
      </c>
      <c r="F582" s="11"/>
      <c r="G582" s="11" t="s">
        <v>2470</v>
      </c>
      <c r="H582" s="11"/>
      <c r="I582" s="11"/>
      <c r="J582" s="30" t="s">
        <v>2461</v>
      </c>
      <c r="K582" s="17" t="s">
        <v>2472</v>
      </c>
      <c r="L582" s="31">
        <v>44182</v>
      </c>
      <c r="M582" s="30" t="s">
        <v>1935</v>
      </c>
      <c r="N582" s="27" t="s">
        <v>2463</v>
      </c>
      <c r="O582" s="29">
        <v>1</v>
      </c>
      <c r="P582" s="79">
        <v>18009561.57</v>
      </c>
    </row>
    <row r="583" spans="1:16" ht="47.25">
      <c r="A583" s="11">
        <v>459</v>
      </c>
      <c r="B583" s="45"/>
      <c r="C583" s="39" t="s">
        <v>2574</v>
      </c>
      <c r="D583" s="17" t="s">
        <v>2575</v>
      </c>
      <c r="E583" s="11"/>
      <c r="F583" s="11"/>
      <c r="G583" s="11"/>
      <c r="H583" s="11"/>
      <c r="I583" s="11"/>
      <c r="J583" s="16" t="s">
        <v>1324</v>
      </c>
      <c r="K583" s="17"/>
      <c r="L583" s="31"/>
      <c r="M583" s="30" t="s">
        <v>1935</v>
      </c>
      <c r="N583" s="27" t="s">
        <v>2576</v>
      </c>
      <c r="O583" s="29">
        <v>1</v>
      </c>
      <c r="P583" s="79">
        <v>1200000</v>
      </c>
    </row>
    <row r="584" spans="1:16" ht="47.25">
      <c r="A584" s="11">
        <v>460</v>
      </c>
      <c r="B584" s="45"/>
      <c r="C584" s="39" t="s">
        <v>2577</v>
      </c>
      <c r="D584" s="17" t="s">
        <v>2578</v>
      </c>
      <c r="E584" s="11"/>
      <c r="F584" s="11"/>
      <c r="G584" s="11"/>
      <c r="H584" s="11"/>
      <c r="I584" s="11"/>
      <c r="J584" s="30" t="s">
        <v>1328</v>
      </c>
      <c r="K584" s="17"/>
      <c r="L584" s="31"/>
      <c r="M584" s="30" t="s">
        <v>1935</v>
      </c>
      <c r="N584" s="27" t="s">
        <v>2576</v>
      </c>
      <c r="O584" s="29">
        <v>1</v>
      </c>
      <c r="P584" s="79">
        <v>300000</v>
      </c>
    </row>
    <row r="585" spans="1:16" ht="47.25">
      <c r="A585" s="11">
        <v>461</v>
      </c>
      <c r="B585" s="45"/>
      <c r="C585" s="39" t="s">
        <v>2579</v>
      </c>
      <c r="D585" s="17" t="s">
        <v>2580</v>
      </c>
      <c r="E585" s="11"/>
      <c r="F585" s="11"/>
      <c r="G585" s="11"/>
      <c r="H585" s="11"/>
      <c r="I585" s="11"/>
      <c r="J585" s="30" t="s">
        <v>1328</v>
      </c>
      <c r="K585" s="17"/>
      <c r="L585" s="31"/>
      <c r="M585" s="30" t="s">
        <v>1935</v>
      </c>
      <c r="N585" s="27" t="s">
        <v>2576</v>
      </c>
      <c r="O585" s="29">
        <v>1</v>
      </c>
      <c r="P585" s="79">
        <v>350000</v>
      </c>
    </row>
    <row r="586" spans="1:16" ht="47.25">
      <c r="A586" s="11">
        <v>462</v>
      </c>
      <c r="B586" s="45"/>
      <c r="C586" s="39" t="s">
        <v>2581</v>
      </c>
      <c r="D586" s="17" t="s">
        <v>2582</v>
      </c>
      <c r="E586" s="11"/>
      <c r="F586" s="11"/>
      <c r="G586" s="11"/>
      <c r="H586" s="11"/>
      <c r="I586" s="11"/>
      <c r="J586" s="30" t="s">
        <v>2006</v>
      </c>
      <c r="K586" s="17"/>
      <c r="L586" s="31"/>
      <c r="M586" s="30" t="s">
        <v>1935</v>
      </c>
      <c r="N586" s="27" t="s">
        <v>2576</v>
      </c>
      <c r="O586" s="29">
        <v>1</v>
      </c>
      <c r="P586" s="79">
        <v>350000</v>
      </c>
    </row>
    <row r="587" spans="1:16" ht="15.75">
      <c r="A587" s="73" t="s">
        <v>2245</v>
      </c>
      <c r="B587" s="73"/>
      <c r="C587" s="73"/>
      <c r="D587" s="73"/>
      <c r="E587" s="73"/>
      <c r="F587" s="73"/>
      <c r="G587" s="73"/>
      <c r="H587" s="73"/>
      <c r="I587" s="73"/>
      <c r="J587" s="73"/>
      <c r="K587" s="73"/>
      <c r="L587" s="73"/>
      <c r="M587" s="73"/>
      <c r="N587" s="73"/>
      <c r="O587" s="48">
        <f>SUM(O125:O586)</f>
        <v>462</v>
      </c>
      <c r="P587" s="90">
        <f>SUM(P125:P586)</f>
        <v>584482371.5100002</v>
      </c>
    </row>
    <row r="588" spans="1:16" ht="26.25" customHeight="1">
      <c r="A588" s="67" t="s">
        <v>1990</v>
      </c>
      <c r="B588" s="68"/>
      <c r="C588" s="68"/>
      <c r="D588" s="68"/>
      <c r="E588" s="68"/>
      <c r="F588" s="68"/>
      <c r="G588" s="68"/>
      <c r="H588" s="68"/>
      <c r="I588" s="68"/>
      <c r="J588" s="68"/>
      <c r="K588" s="68"/>
      <c r="L588" s="68"/>
      <c r="M588" s="68"/>
      <c r="N588" s="68"/>
      <c r="O588" s="68"/>
      <c r="P588" s="69"/>
    </row>
    <row r="589" spans="1:16" ht="31.5">
      <c r="A589" s="11">
        <v>1</v>
      </c>
      <c r="B589" s="11"/>
      <c r="C589" s="34" t="s">
        <v>275</v>
      </c>
      <c r="D589" s="15" t="s">
        <v>272</v>
      </c>
      <c r="E589" s="29"/>
      <c r="F589" s="29"/>
      <c r="G589" s="29"/>
      <c r="H589" s="29"/>
      <c r="I589" s="29"/>
      <c r="J589" s="16" t="s">
        <v>1324</v>
      </c>
      <c r="K589" s="29"/>
      <c r="L589" s="29"/>
      <c r="M589" s="30" t="s">
        <v>1937</v>
      </c>
      <c r="N589" s="27" t="s">
        <v>1471</v>
      </c>
      <c r="O589" s="29">
        <v>1</v>
      </c>
      <c r="P589" s="79">
        <f>6275.43</f>
        <v>6275.43</v>
      </c>
    </row>
    <row r="590" spans="1:20" s="6" customFormat="1" ht="15" customHeight="1">
      <c r="A590" s="11">
        <v>2</v>
      </c>
      <c r="B590" s="38"/>
      <c r="C590" s="34" t="s">
        <v>274</v>
      </c>
      <c r="D590" s="15" t="s">
        <v>272</v>
      </c>
      <c r="E590" s="29"/>
      <c r="F590" s="29"/>
      <c r="G590" s="29"/>
      <c r="H590" s="29"/>
      <c r="I590" s="29"/>
      <c r="J590" s="16" t="s">
        <v>1324</v>
      </c>
      <c r="K590" s="29"/>
      <c r="L590" s="29"/>
      <c r="M590" s="30" t="s">
        <v>1937</v>
      </c>
      <c r="N590" s="27" t="s">
        <v>1471</v>
      </c>
      <c r="O590" s="29">
        <v>1</v>
      </c>
      <c r="P590" s="79">
        <f>6275.43</f>
        <v>6275.43</v>
      </c>
      <c r="Q590" s="10"/>
      <c r="R590"/>
      <c r="S590" s="5"/>
      <c r="T590" s="5"/>
    </row>
    <row r="591" spans="1:16" ht="31.5">
      <c r="A591" s="11">
        <v>3</v>
      </c>
      <c r="B591" s="11"/>
      <c r="C591" s="34" t="s">
        <v>273</v>
      </c>
      <c r="D591" s="15" t="s">
        <v>272</v>
      </c>
      <c r="E591" s="29"/>
      <c r="F591" s="29"/>
      <c r="G591" s="29"/>
      <c r="H591" s="29"/>
      <c r="I591" s="29"/>
      <c r="J591" s="16" t="s">
        <v>1324</v>
      </c>
      <c r="K591" s="29"/>
      <c r="L591" s="29"/>
      <c r="M591" s="30" t="s">
        <v>1937</v>
      </c>
      <c r="N591" s="27" t="s">
        <v>1471</v>
      </c>
      <c r="O591" s="29">
        <v>1</v>
      </c>
      <c r="P591" s="79">
        <f>6275.43</f>
        <v>6275.43</v>
      </c>
    </row>
    <row r="592" spans="1:16" ht="31.5">
      <c r="A592" s="11">
        <v>4</v>
      </c>
      <c r="B592" s="11"/>
      <c r="C592" s="34" t="s">
        <v>271</v>
      </c>
      <c r="D592" s="15" t="s">
        <v>270</v>
      </c>
      <c r="E592" s="29"/>
      <c r="F592" s="29"/>
      <c r="G592" s="29"/>
      <c r="H592" s="29"/>
      <c r="I592" s="29"/>
      <c r="J592" s="16" t="s">
        <v>1324</v>
      </c>
      <c r="K592" s="29"/>
      <c r="L592" s="29"/>
      <c r="M592" s="30" t="s">
        <v>1937</v>
      </c>
      <c r="N592" s="27" t="s">
        <v>1471</v>
      </c>
      <c r="O592" s="29">
        <v>1</v>
      </c>
      <c r="P592" s="79">
        <f>27430.71</f>
        <v>27430.71</v>
      </c>
    </row>
    <row r="593" spans="1:16" ht="31.5">
      <c r="A593" s="11">
        <v>5</v>
      </c>
      <c r="B593" s="11"/>
      <c r="C593" s="34" t="s">
        <v>269</v>
      </c>
      <c r="D593" s="15" t="s">
        <v>268</v>
      </c>
      <c r="E593" s="29"/>
      <c r="F593" s="29"/>
      <c r="G593" s="29"/>
      <c r="H593" s="29"/>
      <c r="I593" s="29"/>
      <c r="J593" s="16" t="s">
        <v>1324</v>
      </c>
      <c r="K593" s="29"/>
      <c r="L593" s="29"/>
      <c r="M593" s="30" t="s">
        <v>1937</v>
      </c>
      <c r="N593" s="27" t="s">
        <v>1471</v>
      </c>
      <c r="O593" s="29">
        <v>1</v>
      </c>
      <c r="P593" s="79">
        <f>46607.13</f>
        <v>46607.13</v>
      </c>
    </row>
    <row r="594" spans="1:16" ht="31.5">
      <c r="A594" s="11">
        <v>6</v>
      </c>
      <c r="B594" s="11"/>
      <c r="C594" s="34" t="s">
        <v>267</v>
      </c>
      <c r="D594" s="15" t="s">
        <v>265</v>
      </c>
      <c r="E594" s="29"/>
      <c r="F594" s="29"/>
      <c r="G594" s="29"/>
      <c r="H594" s="29"/>
      <c r="I594" s="29"/>
      <c r="J594" s="16" t="s">
        <v>1324</v>
      </c>
      <c r="K594" s="29"/>
      <c r="L594" s="29"/>
      <c r="M594" s="30" t="s">
        <v>1937</v>
      </c>
      <c r="N594" s="27" t="s">
        <v>1471</v>
      </c>
      <c r="O594" s="29">
        <v>1</v>
      </c>
      <c r="P594" s="79">
        <f>388049.99</f>
        <v>388049.99</v>
      </c>
    </row>
    <row r="595" spans="1:16" ht="31.5">
      <c r="A595" s="11">
        <v>7</v>
      </c>
      <c r="B595" s="11"/>
      <c r="C595" s="34" t="s">
        <v>266</v>
      </c>
      <c r="D595" s="15" t="s">
        <v>265</v>
      </c>
      <c r="E595" s="29"/>
      <c r="F595" s="29"/>
      <c r="G595" s="29"/>
      <c r="H595" s="29"/>
      <c r="I595" s="29"/>
      <c r="J595" s="16" t="s">
        <v>1324</v>
      </c>
      <c r="K595" s="29"/>
      <c r="L595" s="29"/>
      <c r="M595" s="30" t="s">
        <v>1937</v>
      </c>
      <c r="N595" s="27" t="s">
        <v>1471</v>
      </c>
      <c r="O595" s="29">
        <v>1</v>
      </c>
      <c r="P595" s="79">
        <f>388049.99</f>
        <v>388049.99</v>
      </c>
    </row>
    <row r="596" spans="1:16" ht="31.5">
      <c r="A596" s="11">
        <v>8</v>
      </c>
      <c r="B596" s="11"/>
      <c r="C596" s="34" t="s">
        <v>264</v>
      </c>
      <c r="D596" s="15" t="s">
        <v>263</v>
      </c>
      <c r="E596" s="29"/>
      <c r="F596" s="29"/>
      <c r="G596" s="29"/>
      <c r="H596" s="29"/>
      <c r="I596" s="29"/>
      <c r="J596" s="16" t="s">
        <v>1324</v>
      </c>
      <c r="K596" s="29"/>
      <c r="L596" s="29"/>
      <c r="M596" s="30" t="s">
        <v>1937</v>
      </c>
      <c r="N596" s="27" t="s">
        <v>1462</v>
      </c>
      <c r="O596" s="29">
        <v>1</v>
      </c>
      <c r="P596" s="79">
        <f>25235</f>
        <v>25235</v>
      </c>
    </row>
    <row r="597" spans="1:16" ht="36.75" customHeight="1">
      <c r="A597" s="11">
        <v>9</v>
      </c>
      <c r="B597" s="11"/>
      <c r="C597" s="34" t="s">
        <v>262</v>
      </c>
      <c r="D597" s="15" t="s">
        <v>261</v>
      </c>
      <c r="E597" s="29"/>
      <c r="F597" s="29"/>
      <c r="G597" s="29"/>
      <c r="H597" s="29"/>
      <c r="I597" s="29"/>
      <c r="J597" s="16" t="s">
        <v>1324</v>
      </c>
      <c r="K597" s="29"/>
      <c r="L597" s="29"/>
      <c r="M597" s="30" t="s">
        <v>1937</v>
      </c>
      <c r="N597" s="27" t="s">
        <v>1565</v>
      </c>
      <c r="O597" s="29">
        <v>1</v>
      </c>
      <c r="P597" s="79">
        <f>46900</f>
        <v>46900</v>
      </c>
    </row>
    <row r="598" spans="1:16" ht="31.5">
      <c r="A598" s="11">
        <v>10</v>
      </c>
      <c r="B598" s="11"/>
      <c r="C598" s="34" t="s">
        <v>260</v>
      </c>
      <c r="D598" s="15" t="s">
        <v>258</v>
      </c>
      <c r="E598" s="29"/>
      <c r="F598" s="29"/>
      <c r="G598" s="29"/>
      <c r="H598" s="29"/>
      <c r="I598" s="29"/>
      <c r="J598" s="16" t="s">
        <v>1324</v>
      </c>
      <c r="K598" s="29"/>
      <c r="L598" s="29"/>
      <c r="M598" s="30" t="s">
        <v>1937</v>
      </c>
      <c r="N598" s="27" t="s">
        <v>1471</v>
      </c>
      <c r="O598" s="29">
        <v>1</v>
      </c>
      <c r="P598" s="79">
        <f>4538.98</f>
        <v>4538.98</v>
      </c>
    </row>
    <row r="599" spans="1:16" ht="31.5">
      <c r="A599" s="11">
        <v>11</v>
      </c>
      <c r="B599" s="11"/>
      <c r="C599" s="34" t="s">
        <v>259</v>
      </c>
      <c r="D599" s="15" t="s">
        <v>258</v>
      </c>
      <c r="E599" s="29"/>
      <c r="F599" s="29"/>
      <c r="G599" s="29"/>
      <c r="H599" s="29"/>
      <c r="I599" s="29"/>
      <c r="J599" s="16" t="s">
        <v>1324</v>
      </c>
      <c r="K599" s="29"/>
      <c r="L599" s="29"/>
      <c r="M599" s="30" t="s">
        <v>1937</v>
      </c>
      <c r="N599" s="27" t="s">
        <v>1471</v>
      </c>
      <c r="O599" s="29">
        <v>1</v>
      </c>
      <c r="P599" s="79">
        <f>4538.98</f>
        <v>4538.98</v>
      </c>
    </row>
    <row r="600" spans="1:16" ht="31.5">
      <c r="A600" s="11">
        <v>12</v>
      </c>
      <c r="B600" s="11"/>
      <c r="C600" s="34" t="s">
        <v>257</v>
      </c>
      <c r="D600" s="15" t="s">
        <v>256</v>
      </c>
      <c r="E600" s="29"/>
      <c r="F600" s="29"/>
      <c r="G600" s="29"/>
      <c r="H600" s="29"/>
      <c r="I600" s="29"/>
      <c r="J600" s="16" t="s">
        <v>1324</v>
      </c>
      <c r="K600" s="29"/>
      <c r="L600" s="29"/>
      <c r="M600" s="30" t="s">
        <v>1937</v>
      </c>
      <c r="N600" s="27" t="s">
        <v>1471</v>
      </c>
      <c r="O600" s="29">
        <v>1</v>
      </c>
      <c r="P600" s="79">
        <f>25410</f>
        <v>25410</v>
      </c>
    </row>
    <row r="601" spans="1:16" ht="47.25">
      <c r="A601" s="11">
        <v>13</v>
      </c>
      <c r="B601" s="11"/>
      <c r="C601" s="34" t="s">
        <v>255</v>
      </c>
      <c r="D601" s="15" t="s">
        <v>254</v>
      </c>
      <c r="E601" s="29"/>
      <c r="F601" s="29"/>
      <c r="G601" s="29"/>
      <c r="H601" s="29"/>
      <c r="I601" s="29">
        <v>82010957</v>
      </c>
      <c r="J601" s="16" t="s">
        <v>1324</v>
      </c>
      <c r="K601" s="29"/>
      <c r="L601" s="29"/>
      <c r="M601" s="30" t="s">
        <v>1937</v>
      </c>
      <c r="N601" s="27" t="s">
        <v>1564</v>
      </c>
      <c r="O601" s="29">
        <v>1</v>
      </c>
      <c r="P601" s="79">
        <f>630000</f>
        <v>630000</v>
      </c>
    </row>
    <row r="602" spans="1:16" ht="129.75" customHeight="1">
      <c r="A602" s="39">
        <v>14</v>
      </c>
      <c r="B602" s="11"/>
      <c r="C602" s="34" t="s">
        <v>1209</v>
      </c>
      <c r="D602" s="15" t="s">
        <v>1206</v>
      </c>
      <c r="E602" s="29"/>
      <c r="F602" s="29"/>
      <c r="G602" s="29"/>
      <c r="H602" s="29"/>
      <c r="I602" s="29"/>
      <c r="J602" s="30" t="s">
        <v>1325</v>
      </c>
      <c r="K602" s="29"/>
      <c r="L602" s="29"/>
      <c r="M602" s="30" t="s">
        <v>1937</v>
      </c>
      <c r="N602" s="27" t="s">
        <v>1554</v>
      </c>
      <c r="O602" s="29">
        <v>1</v>
      </c>
      <c r="P602" s="79">
        <f>2377400</f>
        <v>2377400</v>
      </c>
    </row>
    <row r="603" spans="1:16" ht="128.25" customHeight="1">
      <c r="A603" s="11">
        <v>15</v>
      </c>
      <c r="B603" s="11"/>
      <c r="C603" s="34" t="s">
        <v>1208</v>
      </c>
      <c r="D603" s="15" t="s">
        <v>1206</v>
      </c>
      <c r="E603" s="29"/>
      <c r="F603" s="29"/>
      <c r="G603" s="29"/>
      <c r="H603" s="29"/>
      <c r="I603" s="29"/>
      <c r="J603" s="30" t="s">
        <v>1325</v>
      </c>
      <c r="K603" s="29"/>
      <c r="L603" s="29"/>
      <c r="M603" s="30" t="s">
        <v>1937</v>
      </c>
      <c r="N603" s="27" t="s">
        <v>1554</v>
      </c>
      <c r="O603" s="29">
        <v>1</v>
      </c>
      <c r="P603" s="79">
        <f>2377400</f>
        <v>2377400</v>
      </c>
    </row>
    <row r="604" spans="1:16" ht="141.75">
      <c r="A604" s="11">
        <v>16</v>
      </c>
      <c r="B604" s="11"/>
      <c r="C604" s="34" t="s">
        <v>1207</v>
      </c>
      <c r="D604" s="15" t="s">
        <v>1206</v>
      </c>
      <c r="E604" s="29"/>
      <c r="F604" s="29"/>
      <c r="G604" s="29"/>
      <c r="H604" s="29"/>
      <c r="I604" s="29"/>
      <c r="J604" s="30" t="s">
        <v>1325</v>
      </c>
      <c r="K604" s="29"/>
      <c r="L604" s="29"/>
      <c r="M604" s="30" t="s">
        <v>1937</v>
      </c>
      <c r="N604" s="27" t="s">
        <v>1555</v>
      </c>
      <c r="O604" s="29">
        <v>1</v>
      </c>
      <c r="P604" s="79">
        <f>2376545</f>
        <v>2376545</v>
      </c>
    </row>
    <row r="605" spans="1:16" ht="51.75" customHeight="1">
      <c r="A605" s="11">
        <v>17</v>
      </c>
      <c r="B605" s="11"/>
      <c r="C605" s="34" t="s">
        <v>1205</v>
      </c>
      <c r="D605" s="15" t="s">
        <v>1204</v>
      </c>
      <c r="E605" s="29"/>
      <c r="F605" s="29"/>
      <c r="G605" s="29"/>
      <c r="H605" s="29"/>
      <c r="I605" s="29"/>
      <c r="J605" s="30" t="s">
        <v>1325</v>
      </c>
      <c r="K605" s="15" t="s">
        <v>312</v>
      </c>
      <c r="L605" s="29"/>
      <c r="M605" s="30" t="s">
        <v>1937</v>
      </c>
      <c r="N605" s="27" t="s">
        <v>1558</v>
      </c>
      <c r="O605" s="29">
        <v>1</v>
      </c>
      <c r="P605" s="79">
        <f>81252</f>
        <v>81252</v>
      </c>
    </row>
    <row r="606" spans="1:16" ht="54.75" customHeight="1">
      <c r="A606" s="11">
        <v>18</v>
      </c>
      <c r="B606" s="11"/>
      <c r="C606" s="34" t="s">
        <v>1203</v>
      </c>
      <c r="D606" s="25" t="s">
        <v>1556</v>
      </c>
      <c r="E606" s="29"/>
      <c r="F606" s="29"/>
      <c r="G606" s="29"/>
      <c r="H606" s="29"/>
      <c r="I606" s="29"/>
      <c r="J606" s="30" t="s">
        <v>1325</v>
      </c>
      <c r="K606" s="15" t="s">
        <v>312</v>
      </c>
      <c r="L606" s="29"/>
      <c r="M606" s="30" t="s">
        <v>1937</v>
      </c>
      <c r="N606" s="27" t="s">
        <v>1557</v>
      </c>
      <c r="O606" s="29">
        <v>1</v>
      </c>
      <c r="P606" s="79">
        <f>493400</f>
        <v>493400</v>
      </c>
    </row>
    <row r="607" spans="1:16" ht="51" customHeight="1">
      <c r="A607" s="11">
        <v>19</v>
      </c>
      <c r="B607" s="11"/>
      <c r="C607" s="34" t="s">
        <v>1223</v>
      </c>
      <c r="D607" s="15" t="s">
        <v>1222</v>
      </c>
      <c r="E607" s="29"/>
      <c r="F607" s="29"/>
      <c r="G607" s="29"/>
      <c r="H607" s="29"/>
      <c r="I607" s="29"/>
      <c r="J607" s="30" t="s">
        <v>1326</v>
      </c>
      <c r="K607" s="29"/>
      <c r="L607" s="29"/>
      <c r="M607" s="30" t="s">
        <v>1937</v>
      </c>
      <c r="N607" s="27" t="s">
        <v>1560</v>
      </c>
      <c r="O607" s="29">
        <v>1</v>
      </c>
      <c r="P607" s="79">
        <f>19588</f>
        <v>19588</v>
      </c>
    </row>
    <row r="608" spans="1:16" ht="78.75">
      <c r="A608" s="11">
        <v>20</v>
      </c>
      <c r="B608" s="11"/>
      <c r="C608" s="34" t="s">
        <v>1221</v>
      </c>
      <c r="D608" s="15" t="s">
        <v>1220</v>
      </c>
      <c r="E608" s="29"/>
      <c r="F608" s="29"/>
      <c r="G608" s="29"/>
      <c r="H608" s="29"/>
      <c r="I608" s="30" t="s">
        <v>1940</v>
      </c>
      <c r="J608" s="30" t="s">
        <v>1326</v>
      </c>
      <c r="K608" s="29"/>
      <c r="L608" s="29"/>
      <c r="M608" s="30" t="s">
        <v>1937</v>
      </c>
      <c r="N608" s="27" t="s">
        <v>1939</v>
      </c>
      <c r="O608" s="29">
        <v>1</v>
      </c>
      <c r="P608" s="79">
        <f>850000</f>
        <v>850000</v>
      </c>
    </row>
    <row r="609" spans="1:16" ht="47.25">
      <c r="A609" s="11">
        <v>21</v>
      </c>
      <c r="B609" s="11"/>
      <c r="C609" s="34" t="s">
        <v>1219</v>
      </c>
      <c r="D609" s="15" t="s">
        <v>1218</v>
      </c>
      <c r="E609" s="29"/>
      <c r="F609" s="29"/>
      <c r="G609" s="29"/>
      <c r="H609" s="29"/>
      <c r="I609" s="29">
        <v>741016</v>
      </c>
      <c r="J609" s="30" t="s">
        <v>1326</v>
      </c>
      <c r="K609" s="29"/>
      <c r="L609" s="29"/>
      <c r="M609" s="30" t="s">
        <v>1937</v>
      </c>
      <c r="N609" s="27" t="s">
        <v>1564</v>
      </c>
      <c r="O609" s="29">
        <v>1</v>
      </c>
      <c r="P609" s="79">
        <f>930000</f>
        <v>930000</v>
      </c>
    </row>
    <row r="610" spans="1:16" ht="31.5">
      <c r="A610" s="11">
        <v>22</v>
      </c>
      <c r="B610" s="11"/>
      <c r="C610" s="34" t="s">
        <v>1237</v>
      </c>
      <c r="D610" s="15" t="s">
        <v>1236</v>
      </c>
      <c r="E610" s="29"/>
      <c r="F610" s="29"/>
      <c r="G610" s="29"/>
      <c r="H610" s="29"/>
      <c r="I610" s="29"/>
      <c r="J610" s="30" t="s">
        <v>1327</v>
      </c>
      <c r="K610" s="29"/>
      <c r="L610" s="29"/>
      <c r="M610" s="30" t="s">
        <v>1937</v>
      </c>
      <c r="N610" s="27" t="s">
        <v>1568</v>
      </c>
      <c r="O610" s="29">
        <v>1</v>
      </c>
      <c r="P610" s="79">
        <f>75000</f>
        <v>75000</v>
      </c>
    </row>
    <row r="611" spans="1:16" ht="52.5" customHeight="1">
      <c r="A611" s="11">
        <v>23</v>
      </c>
      <c r="B611" s="11"/>
      <c r="C611" s="34" t="s">
        <v>1235</v>
      </c>
      <c r="D611" s="15" t="s">
        <v>1234</v>
      </c>
      <c r="E611" s="29"/>
      <c r="F611" s="29"/>
      <c r="G611" s="29"/>
      <c r="H611" s="29"/>
      <c r="I611" s="29"/>
      <c r="J611" s="30" t="s">
        <v>1327</v>
      </c>
      <c r="K611" s="29"/>
      <c r="L611" s="29"/>
      <c r="M611" s="30" t="s">
        <v>1937</v>
      </c>
      <c r="N611" s="27" t="s">
        <v>1566</v>
      </c>
      <c r="O611" s="29">
        <v>1</v>
      </c>
      <c r="P611" s="79">
        <f>56125</f>
        <v>56125</v>
      </c>
    </row>
    <row r="612" spans="1:16" ht="31.5">
      <c r="A612" s="11">
        <v>24</v>
      </c>
      <c r="B612" s="11"/>
      <c r="C612" s="34" t="s">
        <v>1233</v>
      </c>
      <c r="D612" s="15" t="s">
        <v>1231</v>
      </c>
      <c r="E612" s="29"/>
      <c r="F612" s="29"/>
      <c r="G612" s="29"/>
      <c r="H612" s="29"/>
      <c r="I612" s="29"/>
      <c r="J612" s="30" t="s">
        <v>1327</v>
      </c>
      <c r="K612" s="29"/>
      <c r="L612" s="29"/>
      <c r="M612" s="30" t="s">
        <v>1937</v>
      </c>
      <c r="N612" s="27" t="s">
        <v>1568</v>
      </c>
      <c r="O612" s="29">
        <v>1</v>
      </c>
      <c r="P612" s="79">
        <f>80000</f>
        <v>80000</v>
      </c>
    </row>
    <row r="613" spans="1:16" ht="31.5">
      <c r="A613" s="11">
        <v>25</v>
      </c>
      <c r="B613" s="11"/>
      <c r="C613" s="34" t="s">
        <v>1232</v>
      </c>
      <c r="D613" s="15" t="s">
        <v>1231</v>
      </c>
      <c r="E613" s="29"/>
      <c r="F613" s="29"/>
      <c r="G613" s="29"/>
      <c r="H613" s="29"/>
      <c r="I613" s="29"/>
      <c r="J613" s="30" t="s">
        <v>1327</v>
      </c>
      <c r="K613" s="29"/>
      <c r="L613" s="29"/>
      <c r="M613" s="30" t="s">
        <v>1937</v>
      </c>
      <c r="N613" s="27" t="s">
        <v>1471</v>
      </c>
      <c r="O613" s="29">
        <v>1</v>
      </c>
      <c r="P613" s="79">
        <f>22900</f>
        <v>22900</v>
      </c>
    </row>
    <row r="614" spans="1:16" ht="31.5">
      <c r="A614" s="11">
        <v>26</v>
      </c>
      <c r="B614" s="11"/>
      <c r="C614" s="34" t="s">
        <v>1230</v>
      </c>
      <c r="D614" s="15" t="s">
        <v>1229</v>
      </c>
      <c r="E614" s="29"/>
      <c r="F614" s="29"/>
      <c r="G614" s="29"/>
      <c r="H614" s="29"/>
      <c r="I614" s="29"/>
      <c r="J614" s="30" t="s">
        <v>1327</v>
      </c>
      <c r="K614" s="29"/>
      <c r="L614" s="29"/>
      <c r="M614" s="30" t="s">
        <v>1937</v>
      </c>
      <c r="N614" s="27" t="s">
        <v>1568</v>
      </c>
      <c r="O614" s="29">
        <v>1</v>
      </c>
      <c r="P614" s="79">
        <f>95000</f>
        <v>95000</v>
      </c>
    </row>
    <row r="615" spans="1:16" ht="47.25">
      <c r="A615" s="11">
        <v>27</v>
      </c>
      <c r="B615" s="11"/>
      <c r="C615" s="34" t="s">
        <v>1251</v>
      </c>
      <c r="D615" s="15" t="s">
        <v>1250</v>
      </c>
      <c r="E615" s="29"/>
      <c r="F615" s="29"/>
      <c r="G615" s="29"/>
      <c r="H615" s="29"/>
      <c r="I615" s="29"/>
      <c r="J615" s="30" t="s">
        <v>1328</v>
      </c>
      <c r="K615" s="29"/>
      <c r="L615" s="29"/>
      <c r="M615" s="30" t="s">
        <v>1937</v>
      </c>
      <c r="N615" s="27" t="s">
        <v>1560</v>
      </c>
      <c r="O615" s="29">
        <v>1</v>
      </c>
      <c r="P615" s="79">
        <f>19588</f>
        <v>19588</v>
      </c>
    </row>
    <row r="616" spans="1:16" ht="52.5" customHeight="1">
      <c r="A616" s="11">
        <v>28</v>
      </c>
      <c r="B616" s="11"/>
      <c r="C616" s="34" t="s">
        <v>1249</v>
      </c>
      <c r="D616" s="15" t="s">
        <v>1244</v>
      </c>
      <c r="E616" s="29"/>
      <c r="F616" s="29"/>
      <c r="G616" s="29"/>
      <c r="H616" s="29"/>
      <c r="I616" s="29"/>
      <c r="J616" s="30" t="s">
        <v>1328</v>
      </c>
      <c r="K616" s="29"/>
      <c r="L616" s="29"/>
      <c r="M616" s="30" t="s">
        <v>1937</v>
      </c>
      <c r="N616" s="27" t="s">
        <v>1567</v>
      </c>
      <c r="O616" s="29">
        <v>1</v>
      </c>
      <c r="P616" s="79">
        <f>1116.73</f>
        <v>1116.73</v>
      </c>
    </row>
    <row r="617" spans="1:16" ht="52.5" customHeight="1">
      <c r="A617" s="11">
        <v>29</v>
      </c>
      <c r="B617" s="11"/>
      <c r="C617" s="34" t="s">
        <v>1248</v>
      </c>
      <c r="D617" s="15" t="s">
        <v>1244</v>
      </c>
      <c r="E617" s="29"/>
      <c r="F617" s="29"/>
      <c r="G617" s="29"/>
      <c r="H617" s="29"/>
      <c r="I617" s="29"/>
      <c r="J617" s="30" t="s">
        <v>1328</v>
      </c>
      <c r="K617" s="29"/>
      <c r="L617" s="29"/>
      <c r="M617" s="30" t="s">
        <v>1937</v>
      </c>
      <c r="N617" s="27" t="s">
        <v>1567</v>
      </c>
      <c r="O617" s="29">
        <v>1</v>
      </c>
      <c r="P617" s="79">
        <f>1116.73</f>
        <v>1116.73</v>
      </c>
    </row>
    <row r="618" spans="1:16" ht="54" customHeight="1">
      <c r="A618" s="11">
        <v>30</v>
      </c>
      <c r="B618" s="11"/>
      <c r="C618" s="34" t="s">
        <v>1247</v>
      </c>
      <c r="D618" s="15" t="s">
        <v>1244</v>
      </c>
      <c r="E618" s="29"/>
      <c r="F618" s="29"/>
      <c r="G618" s="29"/>
      <c r="H618" s="29"/>
      <c r="I618" s="29"/>
      <c r="J618" s="30" t="s">
        <v>1328</v>
      </c>
      <c r="K618" s="29"/>
      <c r="L618" s="29"/>
      <c r="M618" s="30" t="s">
        <v>1937</v>
      </c>
      <c r="N618" s="27" t="s">
        <v>1567</v>
      </c>
      <c r="O618" s="29">
        <v>1</v>
      </c>
      <c r="P618" s="79">
        <f>1116.73</f>
        <v>1116.73</v>
      </c>
    </row>
    <row r="619" spans="1:16" ht="51.75" customHeight="1">
      <c r="A619" s="11">
        <v>31</v>
      </c>
      <c r="B619" s="11"/>
      <c r="C619" s="34" t="s">
        <v>1246</v>
      </c>
      <c r="D619" s="15" t="s">
        <v>1244</v>
      </c>
      <c r="E619" s="29"/>
      <c r="F619" s="29"/>
      <c r="G619" s="29"/>
      <c r="H619" s="29"/>
      <c r="I619" s="29"/>
      <c r="J619" s="30" t="s">
        <v>1328</v>
      </c>
      <c r="K619" s="29"/>
      <c r="L619" s="29"/>
      <c r="M619" s="30" t="s">
        <v>1937</v>
      </c>
      <c r="N619" s="27" t="s">
        <v>1567</v>
      </c>
      <c r="O619" s="29">
        <v>1</v>
      </c>
      <c r="P619" s="79">
        <f>1116.73</f>
        <v>1116.73</v>
      </c>
    </row>
    <row r="620" spans="1:16" ht="56.25" customHeight="1">
      <c r="A620" s="11">
        <v>32</v>
      </c>
      <c r="B620" s="11"/>
      <c r="C620" s="34" t="s">
        <v>1245</v>
      </c>
      <c r="D620" s="15" t="s">
        <v>1244</v>
      </c>
      <c r="E620" s="29"/>
      <c r="F620" s="29"/>
      <c r="G620" s="29"/>
      <c r="H620" s="29"/>
      <c r="I620" s="29"/>
      <c r="J620" s="30" t="s">
        <v>1328</v>
      </c>
      <c r="K620" s="29"/>
      <c r="L620" s="29"/>
      <c r="M620" s="30" t="s">
        <v>1937</v>
      </c>
      <c r="N620" s="27" t="s">
        <v>1567</v>
      </c>
      <c r="O620" s="29">
        <v>1</v>
      </c>
      <c r="P620" s="79">
        <f>1116.73</f>
        <v>1116.73</v>
      </c>
    </row>
    <row r="621" spans="1:16" ht="52.5" customHeight="1">
      <c r="A621" s="11">
        <v>33</v>
      </c>
      <c r="B621" s="11"/>
      <c r="C621" s="34" t="s">
        <v>1243</v>
      </c>
      <c r="D621" s="15" t="s">
        <v>1238</v>
      </c>
      <c r="E621" s="29"/>
      <c r="F621" s="29"/>
      <c r="G621" s="29"/>
      <c r="H621" s="29"/>
      <c r="I621" s="29"/>
      <c r="J621" s="30" t="s">
        <v>1328</v>
      </c>
      <c r="K621" s="29"/>
      <c r="L621" s="29"/>
      <c r="M621" s="30" t="s">
        <v>1937</v>
      </c>
      <c r="N621" s="27" t="s">
        <v>1567</v>
      </c>
      <c r="O621" s="29">
        <v>1</v>
      </c>
      <c r="P621" s="79">
        <f>3137.56</f>
        <v>3137.56</v>
      </c>
    </row>
    <row r="622" spans="1:16" ht="63">
      <c r="A622" s="11">
        <v>34</v>
      </c>
      <c r="B622" s="11"/>
      <c r="C622" s="34" t="s">
        <v>1242</v>
      </c>
      <c r="D622" s="15" t="s">
        <v>1238</v>
      </c>
      <c r="E622" s="29"/>
      <c r="F622" s="29"/>
      <c r="G622" s="29"/>
      <c r="H622" s="29"/>
      <c r="I622" s="29"/>
      <c r="J622" s="30" t="s">
        <v>1328</v>
      </c>
      <c r="K622" s="29"/>
      <c r="L622" s="29"/>
      <c r="M622" s="30" t="s">
        <v>1937</v>
      </c>
      <c r="N622" s="27" t="s">
        <v>1567</v>
      </c>
      <c r="O622" s="29">
        <v>1</v>
      </c>
      <c r="P622" s="79">
        <f>3137.56</f>
        <v>3137.56</v>
      </c>
    </row>
    <row r="623" spans="1:16" ht="52.5" customHeight="1">
      <c r="A623" s="11">
        <v>35</v>
      </c>
      <c r="B623" s="11"/>
      <c r="C623" s="34" t="s">
        <v>1241</v>
      </c>
      <c r="D623" s="15" t="s">
        <v>1238</v>
      </c>
      <c r="E623" s="29"/>
      <c r="F623" s="29"/>
      <c r="G623" s="29"/>
      <c r="H623" s="29"/>
      <c r="I623" s="29"/>
      <c r="J623" s="30" t="s">
        <v>1328</v>
      </c>
      <c r="K623" s="29"/>
      <c r="L623" s="29"/>
      <c r="M623" s="30" t="s">
        <v>1937</v>
      </c>
      <c r="N623" s="27" t="s">
        <v>1567</v>
      </c>
      <c r="O623" s="29">
        <v>1</v>
      </c>
      <c r="P623" s="79">
        <f>3137.56</f>
        <v>3137.56</v>
      </c>
    </row>
    <row r="624" spans="1:16" ht="48" customHeight="1">
      <c r="A624" s="11">
        <v>36</v>
      </c>
      <c r="B624" s="11"/>
      <c r="C624" s="34" t="s">
        <v>1240</v>
      </c>
      <c r="D624" s="15" t="s">
        <v>1238</v>
      </c>
      <c r="E624" s="29"/>
      <c r="F624" s="29"/>
      <c r="G624" s="29"/>
      <c r="H624" s="29"/>
      <c r="I624" s="29"/>
      <c r="J624" s="30" t="s">
        <v>1328</v>
      </c>
      <c r="K624" s="29"/>
      <c r="L624" s="29"/>
      <c r="M624" s="30" t="s">
        <v>1937</v>
      </c>
      <c r="N624" s="27" t="s">
        <v>1567</v>
      </c>
      <c r="O624" s="29">
        <v>1</v>
      </c>
      <c r="P624" s="79">
        <f>3137.56</f>
        <v>3137.56</v>
      </c>
    </row>
    <row r="625" spans="1:16" ht="45.75" customHeight="1">
      <c r="A625" s="11">
        <v>37</v>
      </c>
      <c r="B625" s="11"/>
      <c r="C625" s="34" t="s">
        <v>1239</v>
      </c>
      <c r="D625" s="15" t="s">
        <v>1238</v>
      </c>
      <c r="E625" s="29"/>
      <c r="F625" s="29"/>
      <c r="G625" s="29"/>
      <c r="H625" s="29"/>
      <c r="I625" s="29"/>
      <c r="J625" s="30" t="s">
        <v>1328</v>
      </c>
      <c r="K625" s="29"/>
      <c r="L625" s="29"/>
      <c r="M625" s="30" t="s">
        <v>1937</v>
      </c>
      <c r="N625" s="27" t="s">
        <v>1567</v>
      </c>
      <c r="O625" s="29">
        <v>1</v>
      </c>
      <c r="P625" s="79">
        <f>3137.56</f>
        <v>3137.56</v>
      </c>
    </row>
    <row r="626" spans="1:16" ht="47.25">
      <c r="A626" s="11">
        <v>38</v>
      </c>
      <c r="B626" s="11"/>
      <c r="C626" s="34" t="s">
        <v>1318</v>
      </c>
      <c r="D626" s="15" t="s">
        <v>1317</v>
      </c>
      <c r="E626" s="29"/>
      <c r="F626" s="29"/>
      <c r="G626" s="29"/>
      <c r="H626" s="29"/>
      <c r="I626" s="29"/>
      <c r="J626" s="30" t="s">
        <v>1328</v>
      </c>
      <c r="K626" s="15" t="s">
        <v>312</v>
      </c>
      <c r="L626" s="31"/>
      <c r="M626" s="30" t="s">
        <v>1937</v>
      </c>
      <c r="N626" s="27" t="s">
        <v>1562</v>
      </c>
      <c r="O626" s="29">
        <v>1</v>
      </c>
      <c r="P626" s="79">
        <f>82500</f>
        <v>82500</v>
      </c>
    </row>
    <row r="627" spans="1:16" ht="49.5" customHeight="1">
      <c r="A627" s="11">
        <v>39</v>
      </c>
      <c r="B627" s="11"/>
      <c r="C627" s="34" t="s">
        <v>1316</v>
      </c>
      <c r="D627" s="15" t="s">
        <v>1315</v>
      </c>
      <c r="E627" s="29"/>
      <c r="F627" s="29"/>
      <c r="G627" s="29"/>
      <c r="H627" s="29"/>
      <c r="I627" s="29"/>
      <c r="J627" s="30" t="s">
        <v>1328</v>
      </c>
      <c r="K627" s="15" t="s">
        <v>312</v>
      </c>
      <c r="L627" s="31"/>
      <c r="M627" s="30" t="s">
        <v>1937</v>
      </c>
      <c r="N627" s="27" t="s">
        <v>1562</v>
      </c>
      <c r="O627" s="29">
        <v>1</v>
      </c>
      <c r="P627" s="79">
        <f>53790</f>
        <v>53790</v>
      </c>
    </row>
    <row r="628" spans="1:16" ht="48" customHeight="1">
      <c r="A628" s="11">
        <v>40</v>
      </c>
      <c r="B628" s="11"/>
      <c r="C628" s="34" t="s">
        <v>1314</v>
      </c>
      <c r="D628" s="15" t="s">
        <v>1313</v>
      </c>
      <c r="E628" s="29"/>
      <c r="F628" s="29"/>
      <c r="G628" s="29"/>
      <c r="H628" s="29"/>
      <c r="I628" s="29"/>
      <c r="J628" s="30" t="s">
        <v>1328</v>
      </c>
      <c r="K628" s="15" t="s">
        <v>312</v>
      </c>
      <c r="L628" s="31"/>
      <c r="M628" s="30" t="s">
        <v>1937</v>
      </c>
      <c r="N628" s="27" t="s">
        <v>1562</v>
      </c>
      <c r="O628" s="29">
        <v>1</v>
      </c>
      <c r="P628" s="79">
        <f>136400</f>
        <v>136400</v>
      </c>
    </row>
    <row r="629" spans="1:16" ht="47.25">
      <c r="A629" s="11">
        <v>41</v>
      </c>
      <c r="B629" s="11"/>
      <c r="C629" s="34" t="s">
        <v>1312</v>
      </c>
      <c r="D629" s="15" t="s">
        <v>1311</v>
      </c>
      <c r="E629" s="29"/>
      <c r="F629" s="29"/>
      <c r="G629" s="29"/>
      <c r="H629" s="29"/>
      <c r="I629" s="29"/>
      <c r="J629" s="30" t="s">
        <v>1328</v>
      </c>
      <c r="K629" s="15" t="s">
        <v>312</v>
      </c>
      <c r="L629" s="31"/>
      <c r="M629" s="30" t="s">
        <v>1937</v>
      </c>
      <c r="N629" s="27" t="s">
        <v>1563</v>
      </c>
      <c r="O629" s="29">
        <v>1</v>
      </c>
      <c r="P629" s="79">
        <f>40788</f>
        <v>40788</v>
      </c>
    </row>
    <row r="630" spans="1:16" ht="47.25">
      <c r="A630" s="11">
        <v>42</v>
      </c>
      <c r="B630" s="11"/>
      <c r="C630" s="34" t="s">
        <v>1310</v>
      </c>
      <c r="D630" s="15" t="s">
        <v>1309</v>
      </c>
      <c r="E630" s="29"/>
      <c r="F630" s="29"/>
      <c r="G630" s="29"/>
      <c r="H630" s="29"/>
      <c r="I630" s="29"/>
      <c r="J630" s="30" t="s">
        <v>1328</v>
      </c>
      <c r="K630" s="15" t="s">
        <v>312</v>
      </c>
      <c r="L630" s="31"/>
      <c r="M630" s="30" t="s">
        <v>1937</v>
      </c>
      <c r="N630" s="27" t="s">
        <v>1562</v>
      </c>
      <c r="O630" s="29">
        <v>1</v>
      </c>
      <c r="P630" s="79">
        <f>25938</f>
        <v>25938</v>
      </c>
    </row>
    <row r="631" spans="1:16" ht="47.25">
      <c r="A631" s="11">
        <v>43</v>
      </c>
      <c r="B631" s="11"/>
      <c r="C631" s="34" t="s">
        <v>1308</v>
      </c>
      <c r="D631" s="15" t="s">
        <v>1307</v>
      </c>
      <c r="E631" s="29"/>
      <c r="F631" s="29"/>
      <c r="G631" s="29"/>
      <c r="H631" s="29"/>
      <c r="I631" s="29"/>
      <c r="J631" s="30" t="s">
        <v>1328</v>
      </c>
      <c r="K631" s="15" t="s">
        <v>312</v>
      </c>
      <c r="L631" s="31"/>
      <c r="M631" s="30" t="s">
        <v>1937</v>
      </c>
      <c r="N631" s="27" t="s">
        <v>1562</v>
      </c>
      <c r="O631" s="29">
        <v>1</v>
      </c>
      <c r="P631" s="79">
        <f>106700</f>
        <v>106700</v>
      </c>
    </row>
    <row r="632" spans="1:16" ht="47.25">
      <c r="A632" s="11">
        <v>44</v>
      </c>
      <c r="B632" s="11"/>
      <c r="C632" s="34" t="s">
        <v>1306</v>
      </c>
      <c r="D632" s="15" t="s">
        <v>1305</v>
      </c>
      <c r="E632" s="29"/>
      <c r="F632" s="29"/>
      <c r="G632" s="29"/>
      <c r="H632" s="29"/>
      <c r="I632" s="29"/>
      <c r="J632" s="30" t="s">
        <v>1328</v>
      </c>
      <c r="K632" s="15" t="s">
        <v>312</v>
      </c>
      <c r="L632" s="31"/>
      <c r="M632" s="30" t="s">
        <v>1937</v>
      </c>
      <c r="N632" s="27" t="s">
        <v>1562</v>
      </c>
      <c r="O632" s="29">
        <v>1</v>
      </c>
      <c r="P632" s="79">
        <f>19096</f>
        <v>19096</v>
      </c>
    </row>
    <row r="633" spans="1:16" ht="47.25">
      <c r="A633" s="11">
        <v>45</v>
      </c>
      <c r="B633" s="11"/>
      <c r="C633" s="34" t="s">
        <v>1304</v>
      </c>
      <c r="D633" s="15" t="s">
        <v>1303</v>
      </c>
      <c r="E633" s="29"/>
      <c r="F633" s="29"/>
      <c r="G633" s="29"/>
      <c r="H633" s="29"/>
      <c r="I633" s="29"/>
      <c r="J633" s="30" t="s">
        <v>1328</v>
      </c>
      <c r="K633" s="15" t="s">
        <v>312</v>
      </c>
      <c r="L633" s="31"/>
      <c r="M633" s="30" t="s">
        <v>1937</v>
      </c>
      <c r="N633" s="27" t="s">
        <v>1562</v>
      </c>
      <c r="O633" s="29">
        <v>1</v>
      </c>
      <c r="P633" s="79">
        <f>129800</f>
        <v>129800</v>
      </c>
    </row>
    <row r="634" spans="1:16" ht="47.25">
      <c r="A634" s="11">
        <v>46</v>
      </c>
      <c r="B634" s="11"/>
      <c r="C634" s="34" t="s">
        <v>1302</v>
      </c>
      <c r="D634" s="15" t="s">
        <v>1301</v>
      </c>
      <c r="E634" s="29"/>
      <c r="F634" s="29"/>
      <c r="G634" s="29"/>
      <c r="H634" s="29"/>
      <c r="I634" s="29"/>
      <c r="J634" s="30" t="s">
        <v>1328</v>
      </c>
      <c r="K634" s="15" t="s">
        <v>312</v>
      </c>
      <c r="L634" s="31"/>
      <c r="M634" s="30" t="s">
        <v>1937</v>
      </c>
      <c r="N634" s="27" t="s">
        <v>1558</v>
      </c>
      <c r="O634" s="29">
        <v>1</v>
      </c>
      <c r="P634" s="79">
        <f>43648</f>
        <v>43648</v>
      </c>
    </row>
    <row r="635" spans="1:16" ht="47.25">
      <c r="A635" s="39">
        <v>47</v>
      </c>
      <c r="B635" s="11"/>
      <c r="C635" s="34" t="s">
        <v>1300</v>
      </c>
      <c r="D635" s="15" t="s">
        <v>1299</v>
      </c>
      <c r="E635" s="29"/>
      <c r="F635" s="29"/>
      <c r="G635" s="29"/>
      <c r="H635" s="29"/>
      <c r="I635" s="29"/>
      <c r="J635" s="30" t="s">
        <v>1328</v>
      </c>
      <c r="K635" s="15" t="s">
        <v>312</v>
      </c>
      <c r="L635" s="31"/>
      <c r="M635" s="30" t="s">
        <v>1937</v>
      </c>
      <c r="N635" s="27" t="s">
        <v>1562</v>
      </c>
      <c r="O635" s="29">
        <v>1</v>
      </c>
      <c r="P635" s="79">
        <f>45639</f>
        <v>45639</v>
      </c>
    </row>
    <row r="636" spans="1:16" ht="47.25">
      <c r="A636" s="11">
        <v>48</v>
      </c>
      <c r="B636" s="11"/>
      <c r="C636" s="34" t="s">
        <v>1298</v>
      </c>
      <c r="D636" s="15" t="s">
        <v>1297</v>
      </c>
      <c r="E636" s="29"/>
      <c r="F636" s="29"/>
      <c r="G636" s="29"/>
      <c r="H636" s="29"/>
      <c r="I636" s="29"/>
      <c r="J636" s="30" t="s">
        <v>1328</v>
      </c>
      <c r="K636" s="15" t="s">
        <v>312</v>
      </c>
      <c r="L636" s="31"/>
      <c r="M636" s="30" t="s">
        <v>1937</v>
      </c>
      <c r="N636" s="27" t="s">
        <v>1562</v>
      </c>
      <c r="O636" s="29">
        <v>1</v>
      </c>
      <c r="P636" s="79">
        <f>22047</f>
        <v>22047</v>
      </c>
    </row>
    <row r="637" spans="1:16" ht="47.25">
      <c r="A637" s="11">
        <v>49</v>
      </c>
      <c r="B637" s="11"/>
      <c r="C637" s="34" t="s">
        <v>1296</v>
      </c>
      <c r="D637" s="15" t="s">
        <v>1295</v>
      </c>
      <c r="E637" s="29"/>
      <c r="F637" s="29"/>
      <c r="G637" s="29"/>
      <c r="H637" s="29"/>
      <c r="I637" s="29"/>
      <c r="J637" s="30" t="s">
        <v>1328</v>
      </c>
      <c r="K637" s="15" t="s">
        <v>312</v>
      </c>
      <c r="L637" s="31"/>
      <c r="M637" s="30" t="s">
        <v>1937</v>
      </c>
      <c r="N637" s="27" t="s">
        <v>1562</v>
      </c>
      <c r="O637" s="29">
        <v>1</v>
      </c>
      <c r="P637" s="79">
        <f>74690</f>
        <v>74690</v>
      </c>
    </row>
    <row r="638" spans="1:16" ht="47.25">
      <c r="A638" s="11">
        <v>50</v>
      </c>
      <c r="B638" s="11"/>
      <c r="C638" s="34" t="s">
        <v>1294</v>
      </c>
      <c r="D638" s="15" t="s">
        <v>1293</v>
      </c>
      <c r="E638" s="29"/>
      <c r="F638" s="29"/>
      <c r="G638" s="29"/>
      <c r="H638" s="29"/>
      <c r="I638" s="29"/>
      <c r="J638" s="30" t="s">
        <v>1328</v>
      </c>
      <c r="K638" s="15" t="s">
        <v>312</v>
      </c>
      <c r="L638" s="31"/>
      <c r="M638" s="30" t="s">
        <v>1937</v>
      </c>
      <c r="N638" s="27" t="s">
        <v>1559</v>
      </c>
      <c r="O638" s="29">
        <v>1</v>
      </c>
      <c r="P638" s="79">
        <f>150200</f>
        <v>150200</v>
      </c>
    </row>
    <row r="639" spans="1:16" ht="47.25">
      <c r="A639" s="11">
        <v>51</v>
      </c>
      <c r="B639" s="11"/>
      <c r="C639" s="34" t="s">
        <v>1292</v>
      </c>
      <c r="D639" s="15" t="s">
        <v>1291</v>
      </c>
      <c r="E639" s="29"/>
      <c r="F639" s="29"/>
      <c r="G639" s="29"/>
      <c r="H639" s="29"/>
      <c r="I639" s="29"/>
      <c r="J639" s="30" t="s">
        <v>1328</v>
      </c>
      <c r="K639" s="15" t="s">
        <v>312</v>
      </c>
      <c r="L639" s="31"/>
      <c r="M639" s="30" t="s">
        <v>1937</v>
      </c>
      <c r="N639" s="27" t="s">
        <v>1559</v>
      </c>
      <c r="O639" s="29">
        <v>1</v>
      </c>
      <c r="P639" s="79">
        <f>146300</f>
        <v>146300</v>
      </c>
    </row>
    <row r="640" spans="1:16" ht="47.25">
      <c r="A640" s="47">
        <v>52</v>
      </c>
      <c r="B640" s="11"/>
      <c r="C640" s="34" t="s">
        <v>1290</v>
      </c>
      <c r="D640" s="15" t="s">
        <v>1289</v>
      </c>
      <c r="E640" s="29"/>
      <c r="F640" s="29"/>
      <c r="G640" s="29"/>
      <c r="H640" s="29"/>
      <c r="I640" s="29"/>
      <c r="J640" s="30" t="s">
        <v>1328</v>
      </c>
      <c r="K640" s="15" t="s">
        <v>312</v>
      </c>
      <c r="L640" s="31"/>
      <c r="M640" s="30" t="s">
        <v>1937</v>
      </c>
      <c r="N640" s="27" t="s">
        <v>1562</v>
      </c>
      <c r="O640" s="29">
        <v>1</v>
      </c>
      <c r="P640" s="79">
        <f>103400</f>
        <v>103400</v>
      </c>
    </row>
    <row r="641" spans="1:16" ht="31.5">
      <c r="A641" s="11">
        <v>53</v>
      </c>
      <c r="B641" s="11"/>
      <c r="C641" s="34" t="s">
        <v>1321</v>
      </c>
      <c r="D641" s="15" t="s">
        <v>1320</v>
      </c>
      <c r="E641" s="29"/>
      <c r="F641" s="29"/>
      <c r="G641" s="29"/>
      <c r="H641" s="29"/>
      <c r="I641" s="29"/>
      <c r="J641" s="30" t="s">
        <v>1328</v>
      </c>
      <c r="K641" s="29"/>
      <c r="L641" s="29"/>
      <c r="M641" s="30" t="s">
        <v>1937</v>
      </c>
      <c r="N641" s="27" t="s">
        <v>1941</v>
      </c>
      <c r="O641" s="29">
        <v>1</v>
      </c>
      <c r="P641" s="79">
        <f>35914.25</f>
        <v>35914.25</v>
      </c>
    </row>
    <row r="642" spans="1:16" ht="47.25">
      <c r="A642" s="7">
        <v>54</v>
      </c>
      <c r="B642" s="11"/>
      <c r="C642" s="34" t="s">
        <v>1319</v>
      </c>
      <c r="D642" s="25" t="s">
        <v>1944</v>
      </c>
      <c r="E642" s="29"/>
      <c r="F642" s="29"/>
      <c r="G642" s="29"/>
      <c r="H642" s="29"/>
      <c r="I642" s="29"/>
      <c r="J642" s="30" t="s">
        <v>1328</v>
      </c>
      <c r="K642" s="29"/>
      <c r="L642" s="29"/>
      <c r="M642" s="30" t="s">
        <v>1937</v>
      </c>
      <c r="N642" s="27" t="s">
        <v>1941</v>
      </c>
      <c r="O642" s="29">
        <v>1</v>
      </c>
      <c r="P642" s="79">
        <f>15910</f>
        <v>15910</v>
      </c>
    </row>
    <row r="643" spans="1:16" ht="31.5">
      <c r="A643" s="11">
        <v>55</v>
      </c>
      <c r="B643" s="11"/>
      <c r="C643" s="36" t="s">
        <v>1987</v>
      </c>
      <c r="D643" s="25" t="s">
        <v>1988</v>
      </c>
      <c r="E643" s="29"/>
      <c r="F643" s="29"/>
      <c r="G643" s="29"/>
      <c r="H643" s="29"/>
      <c r="I643" s="29"/>
      <c r="J643" s="30" t="s">
        <v>1328</v>
      </c>
      <c r="K643" s="29"/>
      <c r="L643" s="29"/>
      <c r="M643" s="30" t="s">
        <v>1937</v>
      </c>
      <c r="N643" s="27" t="s">
        <v>1989</v>
      </c>
      <c r="O643" s="29">
        <v>1</v>
      </c>
      <c r="P643" s="79">
        <v>9500</v>
      </c>
    </row>
    <row r="644" spans="1:16" ht="31.5">
      <c r="A644" s="11">
        <v>56</v>
      </c>
      <c r="B644" s="11"/>
      <c r="C644" s="36" t="s">
        <v>2292</v>
      </c>
      <c r="D644" s="25" t="s">
        <v>2293</v>
      </c>
      <c r="E644" s="29"/>
      <c r="F644" s="29"/>
      <c r="G644" s="29"/>
      <c r="H644" s="29"/>
      <c r="I644" s="29"/>
      <c r="J644" s="30" t="s">
        <v>1328</v>
      </c>
      <c r="K644" s="29"/>
      <c r="L644" s="29"/>
      <c r="M644" s="30" t="s">
        <v>1937</v>
      </c>
      <c r="N644" s="27" t="s">
        <v>2294</v>
      </c>
      <c r="O644" s="29">
        <v>1</v>
      </c>
      <c r="P644" s="79">
        <v>10157</v>
      </c>
    </row>
    <row r="645" spans="1:16" ht="31.5">
      <c r="A645" s="11">
        <v>57</v>
      </c>
      <c r="B645" s="11"/>
      <c r="C645" s="36" t="s">
        <v>2295</v>
      </c>
      <c r="D645" s="25" t="s">
        <v>2293</v>
      </c>
      <c r="E645" s="29"/>
      <c r="F645" s="29"/>
      <c r="G645" s="29"/>
      <c r="H645" s="29"/>
      <c r="I645" s="29"/>
      <c r="J645" s="30" t="s">
        <v>1328</v>
      </c>
      <c r="K645" s="29"/>
      <c r="L645" s="29"/>
      <c r="M645" s="30" t="s">
        <v>1937</v>
      </c>
      <c r="N645" s="27" t="s">
        <v>2294</v>
      </c>
      <c r="O645" s="29">
        <v>1</v>
      </c>
      <c r="P645" s="79">
        <v>10157</v>
      </c>
    </row>
    <row r="646" spans="1:16" ht="31.5">
      <c r="A646" s="11">
        <v>58</v>
      </c>
      <c r="B646" s="11"/>
      <c r="C646" s="36" t="s">
        <v>2296</v>
      </c>
      <c r="D646" s="25" t="s">
        <v>2293</v>
      </c>
      <c r="E646" s="29"/>
      <c r="F646" s="29"/>
      <c r="G646" s="29"/>
      <c r="H646" s="29"/>
      <c r="I646" s="29"/>
      <c r="J646" s="30" t="s">
        <v>1328</v>
      </c>
      <c r="K646" s="29"/>
      <c r="L646" s="29"/>
      <c r="M646" s="30" t="s">
        <v>1937</v>
      </c>
      <c r="N646" s="27" t="s">
        <v>2294</v>
      </c>
      <c r="O646" s="29">
        <v>1</v>
      </c>
      <c r="P646" s="79">
        <v>10157</v>
      </c>
    </row>
    <row r="647" spans="1:16" ht="31.5">
      <c r="A647" s="11">
        <v>59</v>
      </c>
      <c r="B647" s="11"/>
      <c r="C647" s="36" t="s">
        <v>2297</v>
      </c>
      <c r="D647" s="25" t="s">
        <v>2293</v>
      </c>
      <c r="E647" s="29"/>
      <c r="F647" s="29"/>
      <c r="G647" s="29"/>
      <c r="H647" s="29"/>
      <c r="I647" s="29"/>
      <c r="J647" s="30" t="s">
        <v>1328</v>
      </c>
      <c r="K647" s="29"/>
      <c r="L647" s="29"/>
      <c r="M647" s="30" t="s">
        <v>1937</v>
      </c>
      <c r="N647" s="27" t="s">
        <v>2294</v>
      </c>
      <c r="O647" s="29">
        <v>1</v>
      </c>
      <c r="P647" s="79">
        <v>10157</v>
      </c>
    </row>
    <row r="648" spans="1:16" ht="31.5">
      <c r="A648" s="11">
        <v>60</v>
      </c>
      <c r="B648" s="11"/>
      <c r="C648" s="36" t="s">
        <v>2298</v>
      </c>
      <c r="D648" s="25" t="s">
        <v>2293</v>
      </c>
      <c r="E648" s="29"/>
      <c r="F648" s="29"/>
      <c r="G648" s="29"/>
      <c r="H648" s="29"/>
      <c r="I648" s="29"/>
      <c r="J648" s="30" t="s">
        <v>1328</v>
      </c>
      <c r="K648" s="29"/>
      <c r="L648" s="29"/>
      <c r="M648" s="30" t="s">
        <v>1937</v>
      </c>
      <c r="N648" s="27" t="s">
        <v>2294</v>
      </c>
      <c r="O648" s="29">
        <v>1</v>
      </c>
      <c r="P648" s="79">
        <v>10157</v>
      </c>
    </row>
    <row r="649" spans="1:16" ht="31.5">
      <c r="A649" s="11">
        <v>61</v>
      </c>
      <c r="B649" s="11"/>
      <c r="C649" s="36" t="s">
        <v>2299</v>
      </c>
      <c r="D649" s="25" t="s">
        <v>2293</v>
      </c>
      <c r="E649" s="29"/>
      <c r="F649" s="29"/>
      <c r="G649" s="29"/>
      <c r="H649" s="29"/>
      <c r="I649" s="29"/>
      <c r="J649" s="30" t="s">
        <v>1328</v>
      </c>
      <c r="K649" s="29"/>
      <c r="L649" s="29"/>
      <c r="M649" s="30" t="s">
        <v>1937</v>
      </c>
      <c r="N649" s="27" t="s">
        <v>2294</v>
      </c>
      <c r="O649" s="29">
        <v>1</v>
      </c>
      <c r="P649" s="79">
        <v>10157</v>
      </c>
    </row>
    <row r="650" spans="1:16" ht="31.5">
      <c r="A650" s="11">
        <v>62</v>
      </c>
      <c r="B650" s="11"/>
      <c r="C650" s="36" t="s">
        <v>2300</v>
      </c>
      <c r="D650" s="25" t="s">
        <v>2293</v>
      </c>
      <c r="E650" s="29"/>
      <c r="F650" s="29"/>
      <c r="G650" s="29"/>
      <c r="H650" s="29"/>
      <c r="I650" s="29"/>
      <c r="J650" s="30" t="s">
        <v>1328</v>
      </c>
      <c r="K650" s="29"/>
      <c r="L650" s="29"/>
      <c r="M650" s="30" t="s">
        <v>1937</v>
      </c>
      <c r="N650" s="27" t="s">
        <v>2294</v>
      </c>
      <c r="O650" s="29">
        <v>1</v>
      </c>
      <c r="P650" s="79">
        <v>10157</v>
      </c>
    </row>
    <row r="651" spans="1:16" ht="31.5">
      <c r="A651" s="11">
        <v>63</v>
      </c>
      <c r="B651" s="11"/>
      <c r="C651" s="36" t="s">
        <v>2301</v>
      </c>
      <c r="D651" s="25" t="s">
        <v>2293</v>
      </c>
      <c r="E651" s="29"/>
      <c r="F651" s="29"/>
      <c r="G651" s="29"/>
      <c r="H651" s="29"/>
      <c r="I651" s="29"/>
      <c r="J651" s="30" t="s">
        <v>1328</v>
      </c>
      <c r="K651" s="29"/>
      <c r="L651" s="29"/>
      <c r="M651" s="30" t="s">
        <v>1937</v>
      </c>
      <c r="N651" s="27" t="s">
        <v>2294</v>
      </c>
      <c r="O651" s="29">
        <v>1</v>
      </c>
      <c r="P651" s="79">
        <v>10157</v>
      </c>
    </row>
    <row r="652" spans="1:16" ht="31.5">
      <c r="A652" s="11">
        <v>64</v>
      </c>
      <c r="B652" s="11"/>
      <c r="C652" s="36" t="s">
        <v>2302</v>
      </c>
      <c r="D652" s="25" t="s">
        <v>2293</v>
      </c>
      <c r="E652" s="29"/>
      <c r="F652" s="29"/>
      <c r="G652" s="29"/>
      <c r="H652" s="29"/>
      <c r="I652" s="29"/>
      <c r="J652" s="30" t="s">
        <v>1328</v>
      </c>
      <c r="K652" s="29"/>
      <c r="L652" s="29"/>
      <c r="M652" s="30" t="s">
        <v>1937</v>
      </c>
      <c r="N652" s="27" t="s">
        <v>2294</v>
      </c>
      <c r="O652" s="29">
        <v>1</v>
      </c>
      <c r="P652" s="79">
        <v>10157</v>
      </c>
    </row>
    <row r="653" spans="1:16" ht="31.5">
      <c r="A653" s="11">
        <v>65</v>
      </c>
      <c r="B653" s="11"/>
      <c r="C653" s="36" t="s">
        <v>2303</v>
      </c>
      <c r="D653" s="25" t="s">
        <v>2293</v>
      </c>
      <c r="E653" s="29"/>
      <c r="F653" s="29"/>
      <c r="G653" s="29"/>
      <c r="H653" s="29"/>
      <c r="I653" s="29"/>
      <c r="J653" s="30" t="s">
        <v>1328</v>
      </c>
      <c r="K653" s="29"/>
      <c r="L653" s="29"/>
      <c r="M653" s="30" t="s">
        <v>1937</v>
      </c>
      <c r="N653" s="27" t="s">
        <v>2294</v>
      </c>
      <c r="O653" s="29">
        <v>1</v>
      </c>
      <c r="P653" s="79">
        <v>10157</v>
      </c>
    </row>
    <row r="654" spans="1:16" ht="31.5">
      <c r="A654" s="11">
        <v>66</v>
      </c>
      <c r="B654" s="11"/>
      <c r="C654" s="36" t="s">
        <v>2304</v>
      </c>
      <c r="D654" s="25" t="s">
        <v>2293</v>
      </c>
      <c r="E654" s="29"/>
      <c r="F654" s="29"/>
      <c r="G654" s="29"/>
      <c r="H654" s="29"/>
      <c r="I654" s="29"/>
      <c r="J654" s="30" t="s">
        <v>1328</v>
      </c>
      <c r="K654" s="29"/>
      <c r="L654" s="29"/>
      <c r="M654" s="30" t="s">
        <v>1937</v>
      </c>
      <c r="N654" s="27" t="s">
        <v>2294</v>
      </c>
      <c r="O654" s="29">
        <v>1</v>
      </c>
      <c r="P654" s="79">
        <v>10157</v>
      </c>
    </row>
    <row r="655" spans="1:16" ht="31.5">
      <c r="A655" s="11">
        <v>67</v>
      </c>
      <c r="B655" s="11"/>
      <c r="C655" s="36" t="s">
        <v>2305</v>
      </c>
      <c r="D655" s="25" t="s">
        <v>2293</v>
      </c>
      <c r="E655" s="29"/>
      <c r="F655" s="29"/>
      <c r="G655" s="29"/>
      <c r="H655" s="29"/>
      <c r="I655" s="29"/>
      <c r="J655" s="30" t="s">
        <v>1328</v>
      </c>
      <c r="K655" s="29"/>
      <c r="L655" s="29"/>
      <c r="M655" s="30" t="s">
        <v>1937</v>
      </c>
      <c r="N655" s="27" t="s">
        <v>2294</v>
      </c>
      <c r="O655" s="29">
        <v>1</v>
      </c>
      <c r="P655" s="79">
        <v>10157</v>
      </c>
    </row>
    <row r="656" spans="1:16" ht="31.5">
      <c r="A656" s="11">
        <v>68</v>
      </c>
      <c r="B656" s="11"/>
      <c r="C656" s="36" t="s">
        <v>2571</v>
      </c>
      <c r="D656" s="25" t="s">
        <v>2572</v>
      </c>
      <c r="E656" s="29"/>
      <c r="F656" s="29"/>
      <c r="G656" s="29"/>
      <c r="H656" s="29"/>
      <c r="I656" s="29"/>
      <c r="J656" s="30" t="s">
        <v>1328</v>
      </c>
      <c r="K656" s="29"/>
      <c r="L656" s="29"/>
      <c r="M656" s="30" t="s">
        <v>1937</v>
      </c>
      <c r="N656" s="27" t="s">
        <v>2573</v>
      </c>
      <c r="O656" s="29">
        <v>1</v>
      </c>
      <c r="P656" s="79">
        <v>44990</v>
      </c>
    </row>
    <row r="657" spans="1:16" ht="15.75">
      <c r="A657" s="11"/>
      <c r="B657" s="74" t="s">
        <v>2246</v>
      </c>
      <c r="C657" s="73"/>
      <c r="D657" s="73"/>
      <c r="E657" s="73"/>
      <c r="F657" s="73"/>
      <c r="G657" s="73"/>
      <c r="H657" s="73"/>
      <c r="I657" s="73"/>
      <c r="J657" s="73"/>
      <c r="K657" s="73"/>
      <c r="L657" s="73"/>
      <c r="M657" s="73"/>
      <c r="N657" s="73"/>
      <c r="O657" s="32">
        <f>SUM(O589:O656)</f>
        <v>68</v>
      </c>
      <c r="P657" s="91">
        <f>SUM(P589:P656)</f>
        <v>12890190.770000005</v>
      </c>
    </row>
    <row r="658" spans="1:16" ht="15.75" customHeight="1">
      <c r="A658" s="70" t="s">
        <v>1131</v>
      </c>
      <c r="B658" s="71"/>
      <c r="C658" s="71"/>
      <c r="D658" s="72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92"/>
    </row>
    <row r="659" spans="1:16" ht="47.25">
      <c r="A659" s="11">
        <v>1</v>
      </c>
      <c r="B659" s="11"/>
      <c r="C659" s="34" t="s">
        <v>1170</v>
      </c>
      <c r="D659" s="25" t="s">
        <v>1330</v>
      </c>
      <c r="E659" s="29">
        <v>1520</v>
      </c>
      <c r="F659" s="29"/>
      <c r="G659" s="29" t="s">
        <v>1329</v>
      </c>
      <c r="H659" s="29"/>
      <c r="I659" s="29"/>
      <c r="J659" s="30" t="s">
        <v>1334</v>
      </c>
      <c r="K659" s="25" t="s">
        <v>1430</v>
      </c>
      <c r="L659" s="31">
        <v>42513</v>
      </c>
      <c r="M659" s="29" t="s">
        <v>1938</v>
      </c>
      <c r="N659" s="26" t="s">
        <v>1431</v>
      </c>
      <c r="O659" s="29">
        <v>1</v>
      </c>
      <c r="P659" s="79">
        <f>61000</f>
        <v>61000</v>
      </c>
    </row>
    <row r="660" spans="1:16" ht="47.25">
      <c r="A660" s="11">
        <v>2</v>
      </c>
      <c r="B660" s="11"/>
      <c r="C660" s="34" t="s">
        <v>1169</v>
      </c>
      <c r="D660" s="25" t="s">
        <v>1332</v>
      </c>
      <c r="E660" s="29">
        <v>2806</v>
      </c>
      <c r="F660" s="29"/>
      <c r="G660" s="29" t="s">
        <v>1331</v>
      </c>
      <c r="H660" s="29"/>
      <c r="I660" s="29"/>
      <c r="J660" s="30" t="s">
        <v>1335</v>
      </c>
      <c r="K660" s="15" t="s">
        <v>1171</v>
      </c>
      <c r="L660" s="31">
        <v>40394</v>
      </c>
      <c r="M660" s="29" t="s">
        <v>1938</v>
      </c>
      <c r="N660" s="26" t="s">
        <v>1378</v>
      </c>
      <c r="O660" s="29">
        <v>1</v>
      </c>
      <c r="P660" s="79">
        <f>6397680</f>
        <v>6397680</v>
      </c>
    </row>
    <row r="661" spans="1:16" ht="47.25">
      <c r="A661" s="11">
        <v>3</v>
      </c>
      <c r="B661" s="11"/>
      <c r="C661" s="34" t="s">
        <v>1168</v>
      </c>
      <c r="D661" s="25" t="s">
        <v>1330</v>
      </c>
      <c r="E661" s="29">
        <v>1858</v>
      </c>
      <c r="F661" s="29"/>
      <c r="G661" s="29" t="s">
        <v>1336</v>
      </c>
      <c r="H661" s="29"/>
      <c r="I661" s="29"/>
      <c r="J661" s="30" t="s">
        <v>1333</v>
      </c>
      <c r="K661" s="25" t="s">
        <v>1381</v>
      </c>
      <c r="L661" s="31">
        <v>42489</v>
      </c>
      <c r="M661" s="29" t="s">
        <v>1938</v>
      </c>
      <c r="N661" s="27" t="s">
        <v>1379</v>
      </c>
      <c r="O661" s="29">
        <v>1</v>
      </c>
      <c r="P661" s="79">
        <f>57133.5</f>
        <v>57133.5</v>
      </c>
    </row>
    <row r="662" spans="1:16" ht="47.25">
      <c r="A662" s="11">
        <v>4</v>
      </c>
      <c r="B662" s="11"/>
      <c r="C662" s="34" t="s">
        <v>1167</v>
      </c>
      <c r="D662" s="25" t="s">
        <v>1338</v>
      </c>
      <c r="E662" s="29">
        <v>478</v>
      </c>
      <c r="F662" s="29"/>
      <c r="G662" s="29" t="s">
        <v>1337</v>
      </c>
      <c r="H662" s="29"/>
      <c r="I662" s="29"/>
      <c r="J662" s="30" t="s">
        <v>1380</v>
      </c>
      <c r="K662" s="15" t="s">
        <v>1172</v>
      </c>
      <c r="L662" s="31">
        <v>40402</v>
      </c>
      <c r="M662" s="29" t="s">
        <v>1938</v>
      </c>
      <c r="N662" s="26" t="s">
        <v>1378</v>
      </c>
      <c r="O662" s="29">
        <v>1</v>
      </c>
      <c r="P662" s="79">
        <f>1634760</f>
        <v>1634760</v>
      </c>
    </row>
    <row r="663" spans="1:16" ht="63">
      <c r="A663" s="11">
        <v>5</v>
      </c>
      <c r="B663" s="11"/>
      <c r="C663" s="34" t="s">
        <v>1166</v>
      </c>
      <c r="D663" s="25" t="s">
        <v>1338</v>
      </c>
      <c r="E663" s="29">
        <v>680</v>
      </c>
      <c r="F663" s="29"/>
      <c r="G663" s="29" t="s">
        <v>1340</v>
      </c>
      <c r="H663" s="29"/>
      <c r="I663" s="29"/>
      <c r="J663" s="30" t="s">
        <v>1339</v>
      </c>
      <c r="K663" s="25" t="s">
        <v>1382</v>
      </c>
      <c r="L663" s="31">
        <v>42489</v>
      </c>
      <c r="M663" s="29" t="s">
        <v>1938</v>
      </c>
      <c r="N663" s="27" t="s">
        <v>1379</v>
      </c>
      <c r="O663" s="29">
        <v>1</v>
      </c>
      <c r="P663" s="79">
        <f>20910</f>
        <v>20910</v>
      </c>
    </row>
    <row r="664" spans="1:16" ht="63">
      <c r="A664" s="11">
        <v>6</v>
      </c>
      <c r="B664" s="11"/>
      <c r="C664" s="34" t="s">
        <v>1165</v>
      </c>
      <c r="D664" s="25" t="s">
        <v>1338</v>
      </c>
      <c r="E664" s="29">
        <v>1100</v>
      </c>
      <c r="F664" s="29"/>
      <c r="G664" s="29" t="s">
        <v>1342</v>
      </c>
      <c r="H664" s="29"/>
      <c r="I664" s="29"/>
      <c r="J664" s="30" t="s">
        <v>1341</v>
      </c>
      <c r="K664" s="25" t="s">
        <v>1383</v>
      </c>
      <c r="L664" s="31">
        <v>42489</v>
      </c>
      <c r="M664" s="29" t="s">
        <v>1938</v>
      </c>
      <c r="N664" s="27" t="s">
        <v>1379</v>
      </c>
      <c r="O664" s="29">
        <v>1</v>
      </c>
      <c r="P664" s="79">
        <f>33825</f>
        <v>33825</v>
      </c>
    </row>
    <row r="665" spans="1:16" ht="63">
      <c r="A665" s="11">
        <v>7</v>
      </c>
      <c r="B665" s="11"/>
      <c r="C665" s="34" t="s">
        <v>1164</v>
      </c>
      <c r="D665" s="25" t="s">
        <v>1330</v>
      </c>
      <c r="E665" s="29">
        <v>599</v>
      </c>
      <c r="F665" s="29"/>
      <c r="G665" s="30" t="s">
        <v>1385</v>
      </c>
      <c r="H665" s="29"/>
      <c r="I665" s="29"/>
      <c r="J665" s="30" t="s">
        <v>1384</v>
      </c>
      <c r="K665" s="15" t="s">
        <v>1173</v>
      </c>
      <c r="L665" s="31">
        <v>40392</v>
      </c>
      <c r="M665" s="29" t="s">
        <v>1938</v>
      </c>
      <c r="N665" s="26" t="s">
        <v>1378</v>
      </c>
      <c r="O665" s="29">
        <v>1</v>
      </c>
      <c r="P665" s="79">
        <f>1707150</f>
        <v>1707150</v>
      </c>
    </row>
    <row r="666" spans="1:16" ht="63">
      <c r="A666" s="11">
        <v>8</v>
      </c>
      <c r="B666" s="11"/>
      <c r="C666" s="34" t="s">
        <v>1163</v>
      </c>
      <c r="D666" s="25" t="s">
        <v>1332</v>
      </c>
      <c r="E666" s="29">
        <v>708</v>
      </c>
      <c r="F666" s="29"/>
      <c r="G666" s="30" t="s">
        <v>1386</v>
      </c>
      <c r="H666" s="29"/>
      <c r="I666" s="29"/>
      <c r="J666" s="30" t="s">
        <v>1343</v>
      </c>
      <c r="K666" s="15" t="s">
        <v>1174</v>
      </c>
      <c r="L666" s="31">
        <v>40403</v>
      </c>
      <c r="M666" s="29" t="s">
        <v>1938</v>
      </c>
      <c r="N666" s="26" t="s">
        <v>1378</v>
      </c>
      <c r="O666" s="29">
        <v>1</v>
      </c>
      <c r="P666" s="79">
        <f>2017800</f>
        <v>2017800</v>
      </c>
    </row>
    <row r="667" spans="1:16" ht="63">
      <c r="A667" s="11">
        <v>9</v>
      </c>
      <c r="B667" s="11"/>
      <c r="C667" s="34" t="s">
        <v>1162</v>
      </c>
      <c r="D667" s="25" t="s">
        <v>1338</v>
      </c>
      <c r="E667" s="29">
        <v>550</v>
      </c>
      <c r="F667" s="29"/>
      <c r="G667" s="29" t="s">
        <v>1345</v>
      </c>
      <c r="H667" s="29"/>
      <c r="I667" s="29"/>
      <c r="J667" s="30" t="s">
        <v>1344</v>
      </c>
      <c r="K667" s="25" t="s">
        <v>1387</v>
      </c>
      <c r="L667" s="31">
        <v>40207</v>
      </c>
      <c r="M667" s="29" t="s">
        <v>1938</v>
      </c>
      <c r="N667" s="27" t="s">
        <v>1388</v>
      </c>
      <c r="O667" s="29">
        <v>1</v>
      </c>
      <c r="P667" s="79">
        <f>9108</f>
        <v>9108</v>
      </c>
    </row>
    <row r="668" spans="1:16" ht="63">
      <c r="A668" s="11">
        <v>10</v>
      </c>
      <c r="B668" s="11"/>
      <c r="C668" s="34" t="s">
        <v>1161</v>
      </c>
      <c r="D668" s="25" t="s">
        <v>1338</v>
      </c>
      <c r="E668" s="29">
        <v>701</v>
      </c>
      <c r="F668" s="29"/>
      <c r="G668" s="30" t="s">
        <v>1389</v>
      </c>
      <c r="H668" s="29"/>
      <c r="I668" s="29"/>
      <c r="J668" s="30" t="s">
        <v>1346</v>
      </c>
      <c r="K668" s="15" t="s">
        <v>1175</v>
      </c>
      <c r="L668" s="31">
        <v>40388</v>
      </c>
      <c r="M668" s="29" t="s">
        <v>1938</v>
      </c>
      <c r="N668" s="26" t="s">
        <v>1378</v>
      </c>
      <c r="O668" s="29">
        <v>1</v>
      </c>
      <c r="P668" s="79">
        <f>1997850</f>
        <v>1997850</v>
      </c>
    </row>
    <row r="669" spans="1:16" ht="63">
      <c r="A669" s="11">
        <v>11</v>
      </c>
      <c r="B669" s="11"/>
      <c r="C669" s="34" t="s">
        <v>1160</v>
      </c>
      <c r="D669" s="25" t="s">
        <v>1330</v>
      </c>
      <c r="E669" s="29">
        <v>1646</v>
      </c>
      <c r="F669" s="29"/>
      <c r="G669" s="30" t="s">
        <v>1390</v>
      </c>
      <c r="H669" s="29"/>
      <c r="I669" s="29"/>
      <c r="J669" s="30" t="s">
        <v>1347</v>
      </c>
      <c r="K669" s="15" t="s">
        <v>1176</v>
      </c>
      <c r="L669" s="31">
        <v>40388</v>
      </c>
      <c r="M669" s="29" t="s">
        <v>1938</v>
      </c>
      <c r="N669" s="26" t="s">
        <v>1378</v>
      </c>
      <c r="O669" s="29">
        <v>1</v>
      </c>
      <c r="P669" s="79">
        <f>3752880</f>
        <v>3752880</v>
      </c>
    </row>
    <row r="670" spans="1:16" ht="63">
      <c r="A670" s="11">
        <v>12</v>
      </c>
      <c r="B670" s="11"/>
      <c r="C670" s="34" t="s">
        <v>1159</v>
      </c>
      <c r="D670" s="25" t="s">
        <v>1338</v>
      </c>
      <c r="E670" s="29">
        <v>876</v>
      </c>
      <c r="F670" s="29"/>
      <c r="G670" s="30" t="s">
        <v>1391</v>
      </c>
      <c r="H670" s="29"/>
      <c r="I670" s="29"/>
      <c r="J670" s="30" t="s">
        <v>1348</v>
      </c>
      <c r="K670" s="15" t="s">
        <v>1177</v>
      </c>
      <c r="L670" s="31">
        <v>40388</v>
      </c>
      <c r="M670" s="29" t="s">
        <v>1938</v>
      </c>
      <c r="N670" s="35"/>
      <c r="O670" s="29">
        <v>1</v>
      </c>
      <c r="P670" s="79">
        <f>2496600</f>
        <v>2496600</v>
      </c>
    </row>
    <row r="671" spans="1:16" ht="63">
      <c r="A671" s="11">
        <v>13</v>
      </c>
      <c r="B671" s="11"/>
      <c r="C671" s="34" t="s">
        <v>1158</v>
      </c>
      <c r="D671" s="25" t="s">
        <v>1338</v>
      </c>
      <c r="E671" s="29">
        <v>502</v>
      </c>
      <c r="F671" s="29"/>
      <c r="G671" s="30" t="s">
        <v>1392</v>
      </c>
      <c r="H671" s="29"/>
      <c r="I671" s="29"/>
      <c r="J671" s="30" t="s">
        <v>1393</v>
      </c>
      <c r="K671" s="15" t="s">
        <v>1178</v>
      </c>
      <c r="L671" s="31">
        <v>40403</v>
      </c>
      <c r="M671" s="29" t="s">
        <v>1938</v>
      </c>
      <c r="N671" s="26" t="s">
        <v>1378</v>
      </c>
      <c r="O671" s="29">
        <v>1</v>
      </c>
      <c r="P671" s="79">
        <f>1430700</f>
        <v>1430700</v>
      </c>
    </row>
    <row r="672" spans="1:16" ht="63">
      <c r="A672" s="11">
        <v>14</v>
      </c>
      <c r="B672" s="11"/>
      <c r="C672" s="34" t="s">
        <v>1157</v>
      </c>
      <c r="D672" s="25" t="s">
        <v>1338</v>
      </c>
      <c r="E672" s="29">
        <v>1505</v>
      </c>
      <c r="F672" s="29"/>
      <c r="G672" s="30" t="s">
        <v>1394</v>
      </c>
      <c r="H672" s="29"/>
      <c r="I672" s="29"/>
      <c r="J672" s="30" t="s">
        <v>1395</v>
      </c>
      <c r="K672" s="25" t="s">
        <v>1396</v>
      </c>
      <c r="L672" s="31">
        <v>40388</v>
      </c>
      <c r="M672" s="29" t="s">
        <v>1938</v>
      </c>
      <c r="N672" s="26" t="s">
        <v>1378</v>
      </c>
      <c r="O672" s="29">
        <v>1</v>
      </c>
      <c r="P672" s="79">
        <f>3431400</f>
        <v>3431400</v>
      </c>
    </row>
    <row r="673" spans="1:16" ht="63">
      <c r="A673" s="11">
        <v>15</v>
      </c>
      <c r="B673" s="11"/>
      <c r="C673" s="34" t="s">
        <v>1156</v>
      </c>
      <c r="D673" s="25" t="s">
        <v>1338</v>
      </c>
      <c r="E673" s="29">
        <v>3229</v>
      </c>
      <c r="F673" s="29"/>
      <c r="G673" s="29" t="s">
        <v>1350</v>
      </c>
      <c r="H673" s="29"/>
      <c r="I673" s="29"/>
      <c r="J673" s="30" t="s">
        <v>1349</v>
      </c>
      <c r="K673" s="25" t="s">
        <v>1397</v>
      </c>
      <c r="L673" s="31">
        <v>42489</v>
      </c>
      <c r="M673" s="29" t="s">
        <v>1938</v>
      </c>
      <c r="N673" s="27" t="s">
        <v>1379</v>
      </c>
      <c r="O673" s="29">
        <v>1</v>
      </c>
      <c r="P673" s="79">
        <f>99291.75</f>
        <v>99291.75</v>
      </c>
    </row>
    <row r="674" spans="1:16" ht="63">
      <c r="A674" s="11">
        <v>16</v>
      </c>
      <c r="B674" s="11"/>
      <c r="C674" s="34" t="s">
        <v>1155</v>
      </c>
      <c r="D674" s="25" t="s">
        <v>1330</v>
      </c>
      <c r="E674" s="29">
        <v>366</v>
      </c>
      <c r="F674" s="29"/>
      <c r="G674" s="30" t="s">
        <v>1352</v>
      </c>
      <c r="H674" s="29"/>
      <c r="I674" s="29"/>
      <c r="J674" s="30" t="s">
        <v>1351</v>
      </c>
      <c r="K674" s="25" t="s">
        <v>1437</v>
      </c>
      <c r="L674" s="31">
        <v>43305</v>
      </c>
      <c r="M674" s="29" t="s">
        <v>1938</v>
      </c>
      <c r="N674" s="26" t="s">
        <v>1438</v>
      </c>
      <c r="O674" s="29">
        <v>1</v>
      </c>
      <c r="P674" s="79">
        <f>70444.02</f>
        <v>70444.02</v>
      </c>
    </row>
    <row r="675" spans="1:16" ht="63">
      <c r="A675" s="11">
        <v>17</v>
      </c>
      <c r="B675" s="11"/>
      <c r="C675" s="34" t="s">
        <v>1154</v>
      </c>
      <c r="D675" s="25" t="s">
        <v>1330</v>
      </c>
      <c r="E675" s="29">
        <v>2505</v>
      </c>
      <c r="F675" s="29"/>
      <c r="G675" s="30" t="s">
        <v>1398</v>
      </c>
      <c r="H675" s="29"/>
      <c r="I675" s="29"/>
      <c r="J675" s="30" t="s">
        <v>1353</v>
      </c>
      <c r="K675" s="25" t="s">
        <v>1399</v>
      </c>
      <c r="L675" s="31">
        <v>40392</v>
      </c>
      <c r="M675" s="29" t="s">
        <v>1938</v>
      </c>
      <c r="N675" s="26" t="s">
        <v>1378</v>
      </c>
      <c r="O675" s="29">
        <v>1</v>
      </c>
      <c r="P675" s="79">
        <f>5711400</f>
        <v>5711400</v>
      </c>
    </row>
    <row r="676" spans="1:16" ht="63">
      <c r="A676" s="7">
        <v>18</v>
      </c>
      <c r="B676" s="11"/>
      <c r="C676" s="34" t="s">
        <v>1153</v>
      </c>
      <c r="D676" s="25" t="s">
        <v>1338</v>
      </c>
      <c r="E676" s="29">
        <v>1876</v>
      </c>
      <c r="F676" s="29"/>
      <c r="G676" s="30" t="s">
        <v>1400</v>
      </c>
      <c r="H676" s="29"/>
      <c r="I676" s="29"/>
      <c r="J676" s="30" t="s">
        <v>1354</v>
      </c>
      <c r="K676" s="15" t="s">
        <v>1179</v>
      </c>
      <c r="L676" s="31">
        <v>40403</v>
      </c>
      <c r="M676" s="29" t="s">
        <v>1938</v>
      </c>
      <c r="N676" s="26" t="s">
        <v>1378</v>
      </c>
      <c r="O676" s="29">
        <v>1</v>
      </c>
      <c r="P676" s="79">
        <f>4277280</f>
        <v>4277280</v>
      </c>
    </row>
    <row r="677" spans="1:16" ht="63">
      <c r="A677" s="47">
        <v>19</v>
      </c>
      <c r="B677" s="11"/>
      <c r="C677" s="34" t="s">
        <v>1152</v>
      </c>
      <c r="D677" s="25" t="s">
        <v>1332</v>
      </c>
      <c r="E677" s="29">
        <v>375</v>
      </c>
      <c r="F677" s="29"/>
      <c r="G677" s="30" t="s">
        <v>1356</v>
      </c>
      <c r="H677" s="29"/>
      <c r="I677" s="29"/>
      <c r="J677" s="30" t="s">
        <v>1355</v>
      </c>
      <c r="K677" s="25" t="s">
        <v>1439</v>
      </c>
      <c r="L677" s="31">
        <v>43305</v>
      </c>
      <c r="M677" s="29" t="s">
        <v>1938</v>
      </c>
      <c r="N677" s="26" t="s">
        <v>1438</v>
      </c>
      <c r="O677" s="29">
        <v>1</v>
      </c>
      <c r="P677" s="79">
        <f>72176.25</f>
        <v>72176.25</v>
      </c>
    </row>
    <row r="678" spans="1:16" ht="47.25">
      <c r="A678" s="11">
        <v>20</v>
      </c>
      <c r="B678" s="11"/>
      <c r="C678" s="34" t="s">
        <v>1151</v>
      </c>
      <c r="D678" s="25" t="s">
        <v>1338</v>
      </c>
      <c r="E678" s="29">
        <v>378</v>
      </c>
      <c r="F678" s="29"/>
      <c r="G678" s="30" t="s">
        <v>1435</v>
      </c>
      <c r="H678" s="29"/>
      <c r="I678" s="29"/>
      <c r="J678" s="30" t="s">
        <v>1357</v>
      </c>
      <c r="K678" s="15" t="s">
        <v>1180</v>
      </c>
      <c r="L678" s="31">
        <v>40135</v>
      </c>
      <c r="M678" s="29" t="s">
        <v>1938</v>
      </c>
      <c r="N678" s="27" t="s">
        <v>1436</v>
      </c>
      <c r="O678" s="29">
        <v>1</v>
      </c>
      <c r="P678" s="79">
        <f>23617.44</f>
        <v>23617.44</v>
      </c>
    </row>
    <row r="679" spans="1:16" ht="94.5">
      <c r="A679" s="11">
        <v>21</v>
      </c>
      <c r="B679" s="11"/>
      <c r="C679" s="34" t="s">
        <v>1150</v>
      </c>
      <c r="D679" s="25" t="s">
        <v>1330</v>
      </c>
      <c r="E679" s="29">
        <v>1662</v>
      </c>
      <c r="F679" s="29"/>
      <c r="G679" s="29" t="s">
        <v>1359</v>
      </c>
      <c r="H679" s="29"/>
      <c r="I679" s="29"/>
      <c r="J679" s="30" t="s">
        <v>1358</v>
      </c>
      <c r="K679" s="25" t="s">
        <v>1432</v>
      </c>
      <c r="L679" s="31">
        <v>42434</v>
      </c>
      <c r="M679" s="29" t="s">
        <v>1938</v>
      </c>
      <c r="N679" s="26" t="s">
        <v>1433</v>
      </c>
      <c r="O679" s="29">
        <v>1</v>
      </c>
      <c r="P679" s="79">
        <f>66961.98</f>
        <v>66961.98</v>
      </c>
    </row>
    <row r="680" spans="1:16" ht="47.25">
      <c r="A680" s="11">
        <v>22</v>
      </c>
      <c r="B680" s="11"/>
      <c r="C680" s="34" t="s">
        <v>1149</v>
      </c>
      <c r="D680" s="25" t="s">
        <v>1338</v>
      </c>
      <c r="E680" s="29">
        <v>2367</v>
      </c>
      <c r="F680" s="29"/>
      <c r="G680" s="30" t="s">
        <v>1422</v>
      </c>
      <c r="H680" s="29"/>
      <c r="I680" s="29"/>
      <c r="J680" s="16" t="s">
        <v>1360</v>
      </c>
      <c r="K680" s="25" t="s">
        <v>1423</v>
      </c>
      <c r="L680" s="31">
        <v>39006</v>
      </c>
      <c r="M680" s="29" t="s">
        <v>1938</v>
      </c>
      <c r="N680" s="27" t="s">
        <v>1424</v>
      </c>
      <c r="O680" s="29">
        <v>1</v>
      </c>
      <c r="P680" s="79">
        <f>70000</f>
        <v>70000</v>
      </c>
    </row>
    <row r="681" spans="1:16" ht="47.25">
      <c r="A681" s="11">
        <v>23</v>
      </c>
      <c r="B681" s="11"/>
      <c r="C681" s="34" t="s">
        <v>1148</v>
      </c>
      <c r="D681" s="25" t="s">
        <v>1330</v>
      </c>
      <c r="E681" s="29">
        <v>1392</v>
      </c>
      <c r="F681" s="29"/>
      <c r="G681" s="30" t="s">
        <v>1401</v>
      </c>
      <c r="H681" s="29"/>
      <c r="I681" s="29"/>
      <c r="J681" s="30" t="s">
        <v>1361</v>
      </c>
      <c r="K681" s="15" t="s">
        <v>1181</v>
      </c>
      <c r="L681" s="31">
        <v>40392</v>
      </c>
      <c r="M681" s="29" t="s">
        <v>1938</v>
      </c>
      <c r="N681" s="26" t="s">
        <v>1378</v>
      </c>
      <c r="O681" s="29">
        <v>1</v>
      </c>
      <c r="P681" s="79">
        <f>3173760</f>
        <v>3173760</v>
      </c>
    </row>
    <row r="682" spans="1:16" ht="63">
      <c r="A682" s="11">
        <v>24</v>
      </c>
      <c r="B682" s="11"/>
      <c r="C682" s="34" t="s">
        <v>1147</v>
      </c>
      <c r="D682" s="25" t="s">
        <v>1332</v>
      </c>
      <c r="E682" s="29">
        <v>778</v>
      </c>
      <c r="F682" s="29"/>
      <c r="G682" s="30" t="s">
        <v>1402</v>
      </c>
      <c r="H682" s="29"/>
      <c r="I682" s="29"/>
      <c r="J682" s="30" t="s">
        <v>1362</v>
      </c>
      <c r="K682" s="15" t="s">
        <v>1182</v>
      </c>
      <c r="L682" s="31"/>
      <c r="M682" s="29" t="s">
        <v>1938</v>
      </c>
      <c r="N682" s="26" t="s">
        <v>1378</v>
      </c>
      <c r="O682" s="29">
        <v>1</v>
      </c>
      <c r="P682" s="79">
        <f>2217300</f>
        <v>2217300</v>
      </c>
    </row>
    <row r="683" spans="1:16" ht="63">
      <c r="A683" s="11">
        <v>25</v>
      </c>
      <c r="B683" s="11"/>
      <c r="C683" s="34" t="s">
        <v>1146</v>
      </c>
      <c r="D683" s="25" t="s">
        <v>1330</v>
      </c>
      <c r="E683" s="29">
        <v>1390</v>
      </c>
      <c r="F683" s="29"/>
      <c r="G683" s="30" t="s">
        <v>1403</v>
      </c>
      <c r="H683" s="29"/>
      <c r="I683" s="29"/>
      <c r="J683" s="30" t="s">
        <v>1404</v>
      </c>
      <c r="K683" s="25" t="s">
        <v>1405</v>
      </c>
      <c r="L683" s="31">
        <v>40402</v>
      </c>
      <c r="M683" s="29" t="s">
        <v>1938</v>
      </c>
      <c r="N683" s="26" t="s">
        <v>1378</v>
      </c>
      <c r="O683" s="29">
        <v>1</v>
      </c>
      <c r="P683" s="79">
        <f>3169200</f>
        <v>3169200</v>
      </c>
    </row>
    <row r="684" spans="1:16" ht="47.25">
      <c r="A684" s="11">
        <v>26</v>
      </c>
      <c r="B684" s="11"/>
      <c r="C684" s="34" t="s">
        <v>1145</v>
      </c>
      <c r="D684" s="25" t="s">
        <v>1338</v>
      </c>
      <c r="E684" s="29">
        <v>630</v>
      </c>
      <c r="F684" s="29"/>
      <c r="G684" s="29" t="s">
        <v>1364</v>
      </c>
      <c r="H684" s="29"/>
      <c r="I684" s="29"/>
      <c r="J684" s="30" t="s">
        <v>1363</v>
      </c>
      <c r="K684" s="15" t="s">
        <v>1183</v>
      </c>
      <c r="L684" s="31">
        <v>41536</v>
      </c>
      <c r="M684" s="29" t="s">
        <v>1938</v>
      </c>
      <c r="N684" s="27" t="s">
        <v>1429</v>
      </c>
      <c r="O684" s="29">
        <v>1</v>
      </c>
      <c r="P684" s="79">
        <f>35928.9</f>
        <v>35928.9</v>
      </c>
    </row>
    <row r="685" spans="1:16" ht="47.25">
      <c r="A685" s="11">
        <v>27</v>
      </c>
      <c r="B685" s="11"/>
      <c r="C685" s="34" t="s">
        <v>1144</v>
      </c>
      <c r="D685" s="25" t="s">
        <v>1332</v>
      </c>
      <c r="E685" s="29">
        <v>1743</v>
      </c>
      <c r="F685" s="29"/>
      <c r="G685" s="30" t="s">
        <v>1406</v>
      </c>
      <c r="H685" s="29"/>
      <c r="I685" s="29"/>
      <c r="J685" s="30" t="s">
        <v>1365</v>
      </c>
      <c r="K685" s="15" t="s">
        <v>1184</v>
      </c>
      <c r="L685" s="31">
        <v>40403</v>
      </c>
      <c r="M685" s="29" t="s">
        <v>1938</v>
      </c>
      <c r="N685" s="26" t="s">
        <v>1378</v>
      </c>
      <c r="O685" s="29">
        <v>1</v>
      </c>
      <c r="P685" s="79">
        <f>3974040</f>
        <v>3974040</v>
      </c>
    </row>
    <row r="686" spans="1:16" ht="47.25">
      <c r="A686" s="47">
        <v>28</v>
      </c>
      <c r="B686" s="11"/>
      <c r="C686" s="34" t="s">
        <v>1143</v>
      </c>
      <c r="D686" s="25" t="s">
        <v>1332</v>
      </c>
      <c r="E686" s="29">
        <v>1425</v>
      </c>
      <c r="F686" s="29"/>
      <c r="G686" s="30" t="s">
        <v>1407</v>
      </c>
      <c r="H686" s="29"/>
      <c r="I686" s="29"/>
      <c r="J686" s="30" t="s">
        <v>1366</v>
      </c>
      <c r="K686" s="15" t="s">
        <v>1185</v>
      </c>
      <c r="L686" s="31">
        <v>40403</v>
      </c>
      <c r="M686" s="29" t="s">
        <v>1938</v>
      </c>
      <c r="N686" s="26" t="s">
        <v>1378</v>
      </c>
      <c r="O686" s="29">
        <v>1</v>
      </c>
      <c r="P686" s="79">
        <f>3249000</f>
        <v>3249000</v>
      </c>
    </row>
    <row r="687" spans="1:16" ht="47.25">
      <c r="A687" s="11">
        <v>29</v>
      </c>
      <c r="B687" s="11"/>
      <c r="C687" s="34" t="s">
        <v>1142</v>
      </c>
      <c r="D687" s="25" t="s">
        <v>1338</v>
      </c>
      <c r="E687" s="29">
        <v>690</v>
      </c>
      <c r="F687" s="29"/>
      <c r="G687" s="30" t="s">
        <v>1408</v>
      </c>
      <c r="H687" s="29"/>
      <c r="I687" s="29"/>
      <c r="J687" s="30" t="s">
        <v>1409</v>
      </c>
      <c r="K687" s="15" t="s">
        <v>1186</v>
      </c>
      <c r="L687" s="31">
        <v>40403</v>
      </c>
      <c r="M687" s="29" t="s">
        <v>1938</v>
      </c>
      <c r="N687" s="26" t="s">
        <v>1378</v>
      </c>
      <c r="O687" s="29">
        <v>1</v>
      </c>
      <c r="P687" s="79">
        <f>1966500</f>
        <v>1966500</v>
      </c>
    </row>
    <row r="688" spans="1:16" ht="47.25">
      <c r="A688" s="11">
        <v>30</v>
      </c>
      <c r="B688" s="11"/>
      <c r="C688" s="34" t="s">
        <v>1141</v>
      </c>
      <c r="D688" s="25" t="s">
        <v>1367</v>
      </c>
      <c r="E688" s="29">
        <v>547</v>
      </c>
      <c r="F688" s="29"/>
      <c r="G688" s="30" t="s">
        <v>1410</v>
      </c>
      <c r="H688" s="29"/>
      <c r="I688" s="29"/>
      <c r="J688" s="30" t="s">
        <v>1411</v>
      </c>
      <c r="K688" s="15" t="s">
        <v>1187</v>
      </c>
      <c r="L688" s="31">
        <v>40402</v>
      </c>
      <c r="M688" s="29" t="s">
        <v>1938</v>
      </c>
      <c r="N688" s="26" t="s">
        <v>1378</v>
      </c>
      <c r="O688" s="29">
        <v>1</v>
      </c>
      <c r="P688" s="79">
        <f>1558950</f>
        <v>1558950</v>
      </c>
    </row>
    <row r="689" spans="1:16" ht="47.25">
      <c r="A689" s="11">
        <v>31</v>
      </c>
      <c r="B689" s="11"/>
      <c r="C689" s="34" t="s">
        <v>1140</v>
      </c>
      <c r="D689" s="25" t="s">
        <v>1367</v>
      </c>
      <c r="E689" s="29">
        <v>1008</v>
      </c>
      <c r="F689" s="29"/>
      <c r="G689" s="30" t="s">
        <v>1412</v>
      </c>
      <c r="H689" s="29"/>
      <c r="I689" s="29"/>
      <c r="J689" s="30" t="s">
        <v>1368</v>
      </c>
      <c r="K689" s="15" t="s">
        <v>1188</v>
      </c>
      <c r="L689" s="31">
        <v>40403</v>
      </c>
      <c r="M689" s="29" t="s">
        <v>1938</v>
      </c>
      <c r="N689" s="26" t="s">
        <v>1378</v>
      </c>
      <c r="O689" s="29">
        <v>1</v>
      </c>
      <c r="P689" s="79">
        <f>2872800</f>
        <v>2872800</v>
      </c>
    </row>
    <row r="690" spans="1:16" ht="47.25">
      <c r="A690" s="11">
        <v>32</v>
      </c>
      <c r="B690" s="11"/>
      <c r="C690" s="34" t="s">
        <v>1139</v>
      </c>
      <c r="D690" s="25" t="s">
        <v>1332</v>
      </c>
      <c r="E690" s="29">
        <v>635</v>
      </c>
      <c r="F690" s="29"/>
      <c r="G690" s="30" t="s">
        <v>1413</v>
      </c>
      <c r="H690" s="29"/>
      <c r="I690" s="29"/>
      <c r="J690" s="30" t="s">
        <v>1414</v>
      </c>
      <c r="K690" s="15" t="s">
        <v>1189</v>
      </c>
      <c r="L690" s="31">
        <v>40403</v>
      </c>
      <c r="M690" s="29" t="s">
        <v>1938</v>
      </c>
      <c r="N690" s="26" t="s">
        <v>1378</v>
      </c>
      <c r="O690" s="29">
        <v>1</v>
      </c>
      <c r="P690" s="79">
        <f>1809750</f>
        <v>1809750</v>
      </c>
    </row>
    <row r="691" spans="1:16" ht="63">
      <c r="A691" s="11">
        <v>33</v>
      </c>
      <c r="B691" s="11"/>
      <c r="C691" s="34" t="s">
        <v>1138</v>
      </c>
      <c r="D691" s="25" t="s">
        <v>1367</v>
      </c>
      <c r="E691" s="29">
        <v>1037</v>
      </c>
      <c r="F691" s="29"/>
      <c r="G691" s="30" t="s">
        <v>1415</v>
      </c>
      <c r="H691" s="29"/>
      <c r="I691" s="29"/>
      <c r="J691" s="30" t="s">
        <v>1416</v>
      </c>
      <c r="K691" s="15" t="s">
        <v>1190</v>
      </c>
      <c r="L691" s="31">
        <v>40402</v>
      </c>
      <c r="M691" s="29" t="s">
        <v>1938</v>
      </c>
      <c r="N691" s="26" t="s">
        <v>1378</v>
      </c>
      <c r="O691" s="29">
        <v>1</v>
      </c>
      <c r="P691" s="79">
        <f>2955450</f>
        <v>2955450</v>
      </c>
    </row>
    <row r="692" spans="1:16" ht="47.25">
      <c r="A692" s="11">
        <v>34</v>
      </c>
      <c r="B692" s="11"/>
      <c r="C692" s="34" t="s">
        <v>1137</v>
      </c>
      <c r="D692" s="25" t="s">
        <v>1370</v>
      </c>
      <c r="E692" s="29">
        <v>933</v>
      </c>
      <c r="F692" s="29"/>
      <c r="G692" s="30" t="s">
        <v>1417</v>
      </c>
      <c r="H692" s="29"/>
      <c r="I692" s="29"/>
      <c r="J692" s="30" t="s">
        <v>1369</v>
      </c>
      <c r="K692" s="15" t="s">
        <v>1191</v>
      </c>
      <c r="L692" s="31">
        <v>40403</v>
      </c>
      <c r="M692" s="29" t="s">
        <v>1938</v>
      </c>
      <c r="N692" s="26" t="s">
        <v>1378</v>
      </c>
      <c r="O692" s="29">
        <v>1</v>
      </c>
      <c r="P692" s="79">
        <f>2659050</f>
        <v>2659050</v>
      </c>
    </row>
    <row r="693" spans="1:16" ht="47.25">
      <c r="A693" s="11">
        <v>35</v>
      </c>
      <c r="B693" s="11"/>
      <c r="C693" s="34" t="s">
        <v>1136</v>
      </c>
      <c r="D693" s="25" t="s">
        <v>1332</v>
      </c>
      <c r="E693" s="29">
        <v>1040</v>
      </c>
      <c r="F693" s="29"/>
      <c r="G693" s="30" t="s">
        <v>1418</v>
      </c>
      <c r="H693" s="29"/>
      <c r="I693" s="29"/>
      <c r="J693" s="30" t="s">
        <v>1371</v>
      </c>
      <c r="K693" s="15" t="s">
        <v>1192</v>
      </c>
      <c r="L693" s="31">
        <v>40403</v>
      </c>
      <c r="M693" s="29" t="s">
        <v>1938</v>
      </c>
      <c r="N693" s="26" t="s">
        <v>1378</v>
      </c>
      <c r="O693" s="29">
        <v>1</v>
      </c>
      <c r="P693" s="79">
        <f>2964000</f>
        <v>2964000</v>
      </c>
    </row>
    <row r="694" spans="1:16" ht="47.25">
      <c r="A694" s="11">
        <v>36</v>
      </c>
      <c r="B694" s="11"/>
      <c r="C694" s="34" t="s">
        <v>1135</v>
      </c>
      <c r="D694" s="25" t="s">
        <v>1367</v>
      </c>
      <c r="E694" s="29">
        <v>510</v>
      </c>
      <c r="F694" s="29"/>
      <c r="G694" s="29" t="s">
        <v>1373</v>
      </c>
      <c r="H694" s="29"/>
      <c r="I694" s="29"/>
      <c r="J694" s="16" t="s">
        <v>1372</v>
      </c>
      <c r="K694" s="25" t="s">
        <v>1427</v>
      </c>
      <c r="L694" s="31">
        <v>42348</v>
      </c>
      <c r="M694" s="29" t="s">
        <v>1938</v>
      </c>
      <c r="N694" s="27" t="s">
        <v>1428</v>
      </c>
      <c r="O694" s="29">
        <v>1</v>
      </c>
      <c r="P694" s="79">
        <f>14000</f>
        <v>14000</v>
      </c>
    </row>
    <row r="695" spans="1:16" ht="63">
      <c r="A695" s="11">
        <v>37</v>
      </c>
      <c r="B695" s="11"/>
      <c r="C695" s="34" t="s">
        <v>1134</v>
      </c>
      <c r="D695" s="25" t="s">
        <v>1367</v>
      </c>
      <c r="E695" s="29">
        <v>640</v>
      </c>
      <c r="F695" s="29"/>
      <c r="G695" s="30" t="s">
        <v>1419</v>
      </c>
      <c r="H695" s="29"/>
      <c r="I695" s="29"/>
      <c r="J695" s="16" t="s">
        <v>1374</v>
      </c>
      <c r="K695" s="25" t="s">
        <v>1420</v>
      </c>
      <c r="L695" s="31">
        <v>40382</v>
      </c>
      <c r="M695" s="29" t="s">
        <v>1938</v>
      </c>
      <c r="N695" s="27" t="s">
        <v>1421</v>
      </c>
      <c r="O695" s="29">
        <v>1</v>
      </c>
      <c r="P695" s="79">
        <f>66220.8</f>
        <v>66220.8</v>
      </c>
    </row>
    <row r="696" spans="1:16" ht="47.25">
      <c r="A696" s="11">
        <v>38</v>
      </c>
      <c r="B696" s="11"/>
      <c r="C696" s="34" t="s">
        <v>1133</v>
      </c>
      <c r="D696" s="25" t="s">
        <v>1367</v>
      </c>
      <c r="E696" s="29">
        <v>549</v>
      </c>
      <c r="F696" s="29"/>
      <c r="G696" s="29" t="s">
        <v>1376</v>
      </c>
      <c r="H696" s="29"/>
      <c r="I696" s="29"/>
      <c r="J696" s="30" t="s">
        <v>1375</v>
      </c>
      <c r="K696" s="25" t="s">
        <v>1434</v>
      </c>
      <c r="L696" s="31">
        <v>42489</v>
      </c>
      <c r="M696" s="29" t="s">
        <v>1938</v>
      </c>
      <c r="N696" s="27" t="s">
        <v>1379</v>
      </c>
      <c r="O696" s="29">
        <v>1</v>
      </c>
      <c r="P696" s="79">
        <f>22119.21</f>
        <v>22119.21</v>
      </c>
    </row>
    <row r="697" spans="1:16" ht="47.25">
      <c r="A697" s="11">
        <v>39</v>
      </c>
      <c r="B697" s="11"/>
      <c r="C697" s="34" t="s">
        <v>1132</v>
      </c>
      <c r="D697" s="25" t="s">
        <v>1338</v>
      </c>
      <c r="E697" s="29">
        <v>1545</v>
      </c>
      <c r="F697" s="29"/>
      <c r="G697" s="30" t="s">
        <v>1425</v>
      </c>
      <c r="H697" s="29"/>
      <c r="I697" s="29"/>
      <c r="J697" s="30" t="s">
        <v>1377</v>
      </c>
      <c r="K697" s="15" t="s">
        <v>1193</v>
      </c>
      <c r="L697" s="31">
        <v>39092</v>
      </c>
      <c r="M697" s="29" t="s">
        <v>1938</v>
      </c>
      <c r="N697" s="27" t="s">
        <v>1426</v>
      </c>
      <c r="O697" s="29">
        <v>1</v>
      </c>
      <c r="P697" s="79">
        <f>50000</f>
        <v>50000</v>
      </c>
    </row>
    <row r="698" spans="1:16" ht="47.25">
      <c r="A698" s="11">
        <v>40</v>
      </c>
      <c r="B698" s="11"/>
      <c r="C698" s="36" t="s">
        <v>2004</v>
      </c>
      <c r="D698" s="25" t="s">
        <v>1338</v>
      </c>
      <c r="E698" s="29">
        <v>3639</v>
      </c>
      <c r="F698" s="29"/>
      <c r="G698" s="30" t="s">
        <v>2005</v>
      </c>
      <c r="H698" s="29"/>
      <c r="I698" s="29"/>
      <c r="J698" s="30" t="s">
        <v>2006</v>
      </c>
      <c r="K698" s="25" t="s">
        <v>2011</v>
      </c>
      <c r="L698" s="31">
        <v>43693</v>
      </c>
      <c r="M698" s="29" t="s">
        <v>1938</v>
      </c>
      <c r="N698" s="27" t="s">
        <v>2007</v>
      </c>
      <c r="O698" s="29">
        <v>1</v>
      </c>
      <c r="P698" s="79">
        <v>292138.92</v>
      </c>
    </row>
    <row r="699" spans="1:16" ht="47.25">
      <c r="A699" s="11">
        <v>41</v>
      </c>
      <c r="B699" s="11"/>
      <c r="C699" s="36" t="s">
        <v>2008</v>
      </c>
      <c r="D699" s="25" t="s">
        <v>1338</v>
      </c>
      <c r="E699" s="29">
        <v>7809</v>
      </c>
      <c r="F699" s="29"/>
      <c r="G699" s="30" t="s">
        <v>2009</v>
      </c>
      <c r="H699" s="29"/>
      <c r="I699" s="29"/>
      <c r="J699" s="30" t="s">
        <v>2010</v>
      </c>
      <c r="K699" s="25" t="s">
        <v>2012</v>
      </c>
      <c r="L699" s="31">
        <v>43693</v>
      </c>
      <c r="M699" s="29" t="s">
        <v>1938</v>
      </c>
      <c r="N699" s="27" t="s">
        <v>2007</v>
      </c>
      <c r="O699" s="29">
        <v>1</v>
      </c>
      <c r="P699" s="79">
        <v>569432.28</v>
      </c>
    </row>
    <row r="700" spans="1:17" ht="47.25">
      <c r="A700" s="11">
        <v>42</v>
      </c>
      <c r="B700" s="11"/>
      <c r="C700" s="36" t="s">
        <v>2146</v>
      </c>
      <c r="D700" s="25" t="s">
        <v>1338</v>
      </c>
      <c r="E700" s="29">
        <v>757</v>
      </c>
      <c r="F700" s="29"/>
      <c r="G700" s="30" t="s">
        <v>2147</v>
      </c>
      <c r="H700" s="29"/>
      <c r="I700" s="29"/>
      <c r="J700" s="30" t="s">
        <v>2148</v>
      </c>
      <c r="K700" s="30" t="s">
        <v>2149</v>
      </c>
      <c r="L700" s="31">
        <v>43640</v>
      </c>
      <c r="M700" s="29" t="s">
        <v>1938</v>
      </c>
      <c r="N700" s="27" t="s">
        <v>2150</v>
      </c>
      <c r="O700" s="29">
        <v>1</v>
      </c>
      <c r="P700" s="79">
        <v>30500</v>
      </c>
      <c r="Q700"/>
    </row>
    <row r="701" spans="1:16" ht="47.25">
      <c r="A701" s="11">
        <v>43</v>
      </c>
      <c r="B701" s="11"/>
      <c r="C701" s="36" t="s">
        <v>1159</v>
      </c>
      <c r="D701" s="25" t="s">
        <v>1338</v>
      </c>
      <c r="E701" s="29">
        <v>9393</v>
      </c>
      <c r="F701" s="29"/>
      <c r="G701" s="30" t="s">
        <v>2238</v>
      </c>
      <c r="H701" s="29"/>
      <c r="I701" s="29"/>
      <c r="J701" s="30" t="s">
        <v>2239</v>
      </c>
      <c r="K701" s="30" t="s">
        <v>2240</v>
      </c>
      <c r="L701" s="31">
        <v>43852</v>
      </c>
      <c r="M701" s="29" t="s">
        <v>1938</v>
      </c>
      <c r="N701" s="27" t="s">
        <v>2007</v>
      </c>
      <c r="O701" s="29">
        <v>1</v>
      </c>
      <c r="P701" s="79">
        <v>2368820.67</v>
      </c>
    </row>
    <row r="702" spans="1:16" ht="63">
      <c r="A702" s="40">
        <v>44</v>
      </c>
      <c r="B702" s="11"/>
      <c r="C702" s="36" t="s">
        <v>2237</v>
      </c>
      <c r="D702" s="25" t="s">
        <v>1367</v>
      </c>
      <c r="E702" s="29">
        <v>1493</v>
      </c>
      <c r="F702" s="29"/>
      <c r="G702" s="30" t="s">
        <v>2241</v>
      </c>
      <c r="H702" s="29"/>
      <c r="I702" s="29"/>
      <c r="J702" s="16" t="s">
        <v>2242</v>
      </c>
      <c r="K702" s="30" t="s">
        <v>2243</v>
      </c>
      <c r="L702" s="31">
        <v>43866</v>
      </c>
      <c r="M702" s="29" t="s">
        <v>1938</v>
      </c>
      <c r="N702" s="27" t="s">
        <v>2244</v>
      </c>
      <c r="O702" s="29">
        <v>1</v>
      </c>
      <c r="P702" s="79">
        <v>41878.65</v>
      </c>
    </row>
    <row r="703" spans="1:16" ht="47.25">
      <c r="A703" s="7">
        <v>45</v>
      </c>
      <c r="B703" s="11"/>
      <c r="C703" s="36" t="s">
        <v>2314</v>
      </c>
      <c r="D703" s="25" t="s">
        <v>2315</v>
      </c>
      <c r="E703" s="29">
        <v>15678</v>
      </c>
      <c r="F703" s="29"/>
      <c r="G703" s="30" t="s">
        <v>2316</v>
      </c>
      <c r="H703" s="29"/>
      <c r="I703" s="29"/>
      <c r="J703" s="16" t="s">
        <v>2317</v>
      </c>
      <c r="K703" s="30" t="s">
        <v>2318</v>
      </c>
      <c r="L703" s="31">
        <v>43855</v>
      </c>
      <c r="M703" s="29" t="s">
        <v>1938</v>
      </c>
      <c r="N703" s="26" t="s">
        <v>2319</v>
      </c>
      <c r="O703" s="29">
        <v>1</v>
      </c>
      <c r="P703" s="79">
        <v>1649168.82</v>
      </c>
    </row>
    <row r="704" spans="1:16" ht="47.25">
      <c r="A704" s="52">
        <v>46</v>
      </c>
      <c r="B704" s="11"/>
      <c r="C704" s="36" t="s">
        <v>2320</v>
      </c>
      <c r="D704" s="25" t="s">
        <v>2315</v>
      </c>
      <c r="E704" s="29">
        <v>4181</v>
      </c>
      <c r="F704" s="29"/>
      <c r="G704" s="30" t="s">
        <v>2321</v>
      </c>
      <c r="H704" s="29"/>
      <c r="I704" s="29"/>
      <c r="J704" s="16" t="s">
        <v>2324</v>
      </c>
      <c r="K704" s="30" t="s">
        <v>2322</v>
      </c>
      <c r="L704" s="31">
        <v>43874</v>
      </c>
      <c r="M704" s="29" t="s">
        <v>1938</v>
      </c>
      <c r="N704" s="26" t="s">
        <v>2319</v>
      </c>
      <c r="O704" s="29">
        <v>1</v>
      </c>
      <c r="P704" s="79">
        <v>306216.44</v>
      </c>
    </row>
    <row r="705" spans="1:16" ht="47.25">
      <c r="A705" s="40">
        <v>47</v>
      </c>
      <c r="B705" s="11"/>
      <c r="C705" s="36" t="s">
        <v>2323</v>
      </c>
      <c r="D705" s="25" t="s">
        <v>2315</v>
      </c>
      <c r="E705" s="29">
        <v>4549</v>
      </c>
      <c r="F705" s="29"/>
      <c r="G705" s="30" t="s">
        <v>2326</v>
      </c>
      <c r="H705" s="29"/>
      <c r="I705" s="29"/>
      <c r="J705" s="16" t="s">
        <v>2325</v>
      </c>
      <c r="K705" s="30" t="s">
        <v>2327</v>
      </c>
      <c r="L705" s="31">
        <v>43874</v>
      </c>
      <c r="M705" s="29" t="s">
        <v>1938</v>
      </c>
      <c r="N705" s="26" t="s">
        <v>2319</v>
      </c>
      <c r="O705" s="29">
        <v>1</v>
      </c>
      <c r="P705" s="79">
        <v>162126.36</v>
      </c>
    </row>
    <row r="706" spans="1:16" ht="63">
      <c r="A706" s="40">
        <v>48</v>
      </c>
      <c r="B706" s="11"/>
      <c r="C706" s="36" t="s">
        <v>2521</v>
      </c>
      <c r="D706" s="25" t="s">
        <v>1338</v>
      </c>
      <c r="E706" s="29">
        <v>555</v>
      </c>
      <c r="F706" s="29"/>
      <c r="G706" s="30" t="s">
        <v>2522</v>
      </c>
      <c r="H706" s="29"/>
      <c r="I706" s="29"/>
      <c r="J706" s="16" t="s">
        <v>2317</v>
      </c>
      <c r="K706" s="30" t="s">
        <v>2523</v>
      </c>
      <c r="L706" s="31">
        <v>43381</v>
      </c>
      <c r="M706" s="29" t="s">
        <v>1938</v>
      </c>
      <c r="N706" s="27" t="s">
        <v>2524</v>
      </c>
      <c r="O706" s="29">
        <v>1</v>
      </c>
      <c r="P706" s="79">
        <v>22000</v>
      </c>
    </row>
    <row r="707" spans="1:16" ht="63">
      <c r="A707" s="40">
        <v>49</v>
      </c>
      <c r="B707" s="11"/>
      <c r="C707" s="36" t="s">
        <v>2556</v>
      </c>
      <c r="D707" s="25" t="s">
        <v>1338</v>
      </c>
      <c r="E707" s="29">
        <v>1550</v>
      </c>
      <c r="F707" s="29"/>
      <c r="G707" s="30" t="s">
        <v>2557</v>
      </c>
      <c r="H707" s="29"/>
      <c r="I707" s="29"/>
      <c r="J707" s="16" t="s">
        <v>2324</v>
      </c>
      <c r="K707" s="30" t="s">
        <v>2558</v>
      </c>
      <c r="L707" s="31">
        <v>44288</v>
      </c>
      <c r="M707" s="29" t="s">
        <v>1938</v>
      </c>
      <c r="N707" s="27" t="s">
        <v>2559</v>
      </c>
      <c r="O707" s="29">
        <v>1</v>
      </c>
      <c r="P707" s="79">
        <v>705000</v>
      </c>
    </row>
    <row r="708" spans="1:16" ht="47.25">
      <c r="A708" s="40">
        <v>50</v>
      </c>
      <c r="B708" s="11"/>
      <c r="C708" s="36" t="s">
        <v>2560</v>
      </c>
      <c r="D708" s="25" t="s">
        <v>2563</v>
      </c>
      <c r="E708" s="30" t="s">
        <v>2561</v>
      </c>
      <c r="F708" s="29"/>
      <c r="G708" s="30" t="s">
        <v>2562</v>
      </c>
      <c r="H708" s="29"/>
      <c r="I708" s="29"/>
      <c r="J708" s="16" t="s">
        <v>2325</v>
      </c>
      <c r="K708" s="30" t="s">
        <v>2569</v>
      </c>
      <c r="L708" s="31">
        <v>44328</v>
      </c>
      <c r="M708" s="29" t="s">
        <v>1938</v>
      </c>
      <c r="N708" s="27" t="s">
        <v>2564</v>
      </c>
      <c r="O708" s="29">
        <v>1</v>
      </c>
      <c r="P708" s="79">
        <v>2329000</v>
      </c>
    </row>
    <row r="709" spans="1:16" ht="47.25">
      <c r="A709" s="40">
        <v>51</v>
      </c>
      <c r="B709" s="11"/>
      <c r="C709" s="36" t="s">
        <v>2565</v>
      </c>
      <c r="D709" s="25" t="s">
        <v>2563</v>
      </c>
      <c r="E709" s="30" t="s">
        <v>2566</v>
      </c>
      <c r="F709" s="29"/>
      <c r="G709" s="30" t="s">
        <v>2567</v>
      </c>
      <c r="H709" s="29"/>
      <c r="I709" s="29"/>
      <c r="J709" s="16" t="s">
        <v>2568</v>
      </c>
      <c r="K709" s="30" t="s">
        <v>2570</v>
      </c>
      <c r="L709" s="31">
        <v>44337</v>
      </c>
      <c r="M709" s="29" t="s">
        <v>1938</v>
      </c>
      <c r="N709" s="27" t="s">
        <v>2564</v>
      </c>
      <c r="O709" s="29">
        <v>1</v>
      </c>
      <c r="P709" s="79">
        <v>1839000</v>
      </c>
    </row>
    <row r="710" spans="1:16" ht="47.25">
      <c r="A710" s="11">
        <v>52</v>
      </c>
      <c r="B710" s="11"/>
      <c r="C710" s="36" t="s">
        <v>2592</v>
      </c>
      <c r="D710" s="25" t="s">
        <v>2593</v>
      </c>
      <c r="E710" s="30" t="s">
        <v>2594</v>
      </c>
      <c r="F710" s="29"/>
      <c r="G710" s="30" t="s">
        <v>2595</v>
      </c>
      <c r="H710" s="29"/>
      <c r="I710" s="29"/>
      <c r="J710" s="16" t="s">
        <v>2317</v>
      </c>
      <c r="K710" s="30" t="s">
        <v>2599</v>
      </c>
      <c r="L710" s="31">
        <v>44559</v>
      </c>
      <c r="M710" s="29" t="s">
        <v>1938</v>
      </c>
      <c r="N710" s="27" t="s">
        <v>2564</v>
      </c>
      <c r="O710" s="29">
        <v>1</v>
      </c>
      <c r="P710" s="79">
        <v>422000</v>
      </c>
    </row>
    <row r="711" spans="1:16" ht="47.25">
      <c r="A711" s="11">
        <v>53</v>
      </c>
      <c r="B711" s="11"/>
      <c r="C711" s="36" t="s">
        <v>2601</v>
      </c>
      <c r="D711" s="25" t="s">
        <v>2596</v>
      </c>
      <c r="E711" s="30" t="s">
        <v>2597</v>
      </c>
      <c r="F711" s="29"/>
      <c r="G711" s="30" t="s">
        <v>2598</v>
      </c>
      <c r="H711" s="29"/>
      <c r="I711" s="29"/>
      <c r="J711" s="16" t="s">
        <v>2317</v>
      </c>
      <c r="K711" s="30" t="s">
        <v>2600</v>
      </c>
      <c r="L711" s="31">
        <v>44572</v>
      </c>
      <c r="M711" s="29" t="s">
        <v>1938</v>
      </c>
      <c r="N711" s="27" t="s">
        <v>2564</v>
      </c>
      <c r="O711" s="29">
        <v>1</v>
      </c>
      <c r="P711" s="79">
        <v>2418000</v>
      </c>
    </row>
    <row r="712" spans="1:16" ht="47.25">
      <c r="A712" s="11">
        <v>54</v>
      </c>
      <c r="B712" s="11"/>
      <c r="C712" s="36" t="s">
        <v>2602</v>
      </c>
      <c r="D712" s="25" t="s">
        <v>2603</v>
      </c>
      <c r="E712" s="30" t="s">
        <v>2604</v>
      </c>
      <c r="F712" s="29"/>
      <c r="G712" s="30" t="s">
        <v>2605</v>
      </c>
      <c r="H712" s="29"/>
      <c r="I712" s="29"/>
      <c r="J712" s="16" t="s">
        <v>2317</v>
      </c>
      <c r="K712" s="30" t="s">
        <v>2606</v>
      </c>
      <c r="L712" s="31">
        <v>44550</v>
      </c>
      <c r="M712" s="29" t="s">
        <v>1938</v>
      </c>
      <c r="N712" s="27" t="s">
        <v>2564</v>
      </c>
      <c r="O712" s="29">
        <v>1</v>
      </c>
      <c r="P712" s="79">
        <v>823000</v>
      </c>
    </row>
    <row r="713" spans="1:16" ht="47.25">
      <c r="A713" s="11">
        <v>55</v>
      </c>
      <c r="B713" s="11"/>
      <c r="C713" s="36" t="s">
        <v>2611</v>
      </c>
      <c r="D713" s="25" t="s">
        <v>2607</v>
      </c>
      <c r="E713" s="30" t="s">
        <v>2608</v>
      </c>
      <c r="F713" s="29"/>
      <c r="G713" s="30" t="s">
        <v>2609</v>
      </c>
      <c r="H713" s="29"/>
      <c r="I713" s="29"/>
      <c r="J713" s="30" t="s">
        <v>2006</v>
      </c>
      <c r="K713" s="30" t="s">
        <v>2610</v>
      </c>
      <c r="L713" s="31">
        <v>44550</v>
      </c>
      <c r="M713" s="29" t="s">
        <v>1938</v>
      </c>
      <c r="N713" s="27" t="s">
        <v>2564</v>
      </c>
      <c r="O713" s="29">
        <v>1</v>
      </c>
      <c r="P713" s="79">
        <v>663000</v>
      </c>
    </row>
    <row r="714" spans="1:16" ht="47.25">
      <c r="A714" s="11">
        <v>56</v>
      </c>
      <c r="B714" s="11"/>
      <c r="C714" s="36" t="s">
        <v>2612</v>
      </c>
      <c r="D714" s="25" t="s">
        <v>2613</v>
      </c>
      <c r="E714" s="30" t="s">
        <v>2614</v>
      </c>
      <c r="F714" s="29"/>
      <c r="G714" s="30" t="s">
        <v>2615</v>
      </c>
      <c r="H714" s="29"/>
      <c r="I714" s="29"/>
      <c r="J714" s="30" t="s">
        <v>2006</v>
      </c>
      <c r="K714" s="30" t="s">
        <v>2616</v>
      </c>
      <c r="L714" s="31">
        <v>44545</v>
      </c>
      <c r="M714" s="29" t="s">
        <v>1938</v>
      </c>
      <c r="N714" s="27" t="s">
        <v>2564</v>
      </c>
      <c r="O714" s="29">
        <v>1</v>
      </c>
      <c r="P714" s="79">
        <v>5304000</v>
      </c>
    </row>
    <row r="715" spans="1:16" ht="47.25">
      <c r="A715" s="11">
        <v>57</v>
      </c>
      <c r="B715" s="11"/>
      <c r="C715" s="36" t="s">
        <v>2617</v>
      </c>
      <c r="D715" s="25" t="s">
        <v>2618</v>
      </c>
      <c r="E715" s="30" t="s">
        <v>2619</v>
      </c>
      <c r="F715" s="29"/>
      <c r="G715" s="30" t="s">
        <v>2620</v>
      </c>
      <c r="H715" s="29"/>
      <c r="I715" s="29"/>
      <c r="J715" s="16" t="s">
        <v>2324</v>
      </c>
      <c r="K715" s="30" t="s">
        <v>2621</v>
      </c>
      <c r="L715" s="31">
        <v>44545</v>
      </c>
      <c r="M715" s="29" t="s">
        <v>1938</v>
      </c>
      <c r="N715" s="27" t="s">
        <v>2564</v>
      </c>
      <c r="O715" s="29">
        <v>1</v>
      </c>
      <c r="P715" s="79">
        <v>3478000</v>
      </c>
    </row>
    <row r="716" spans="1:16" ht="15.75">
      <c r="A716" s="75" t="s">
        <v>2247</v>
      </c>
      <c r="B716" s="76"/>
      <c r="C716" s="76"/>
      <c r="D716" s="76"/>
      <c r="E716" s="76"/>
      <c r="F716" s="76"/>
      <c r="G716" s="76"/>
      <c r="H716" s="76"/>
      <c r="I716" s="76"/>
      <c r="J716" s="76"/>
      <c r="K716" s="76"/>
      <c r="L716" s="76"/>
      <c r="M716" s="76"/>
      <c r="N716" s="76"/>
      <c r="O716" s="49">
        <f>SUM(O659:O715)</f>
        <v>57</v>
      </c>
      <c r="P716" s="85">
        <f>SUM(P659:P715)</f>
        <v>91621318.98999998</v>
      </c>
    </row>
  </sheetData>
  <sheetProtection/>
  <mergeCells count="23">
    <mergeCell ref="A588:P588"/>
    <mergeCell ref="A658:D658"/>
    <mergeCell ref="A587:N587"/>
    <mergeCell ref="B657:N657"/>
    <mergeCell ref="A716:N716"/>
    <mergeCell ref="A66:D66"/>
    <mergeCell ref="A94:D94"/>
    <mergeCell ref="A123:D123"/>
    <mergeCell ref="A124:D124"/>
    <mergeCell ref="O4:O5"/>
    <mergeCell ref="P4:P5"/>
    <mergeCell ref="B4:B5"/>
    <mergeCell ref="A7:D7"/>
    <mergeCell ref="A4:A5"/>
    <mergeCell ref="C4:C5"/>
    <mergeCell ref="A8:D8"/>
    <mergeCell ref="A59:D59"/>
    <mergeCell ref="N4:N5"/>
    <mergeCell ref="C6:D6"/>
    <mergeCell ref="D4:D5"/>
    <mergeCell ref="E4:J4"/>
    <mergeCell ref="K4:L4"/>
    <mergeCell ref="M4:M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ASP-5</cp:lastModifiedBy>
  <cp:lastPrinted>2020-09-30T04:44:47Z</cp:lastPrinted>
  <dcterms:created xsi:type="dcterms:W3CDTF">2019-03-04T04:54:41Z</dcterms:created>
  <dcterms:modified xsi:type="dcterms:W3CDTF">2022-04-04T11:51:33Z</dcterms:modified>
  <cp:category/>
  <cp:version/>
  <cp:contentType/>
  <cp:contentStatus/>
</cp:coreProperties>
</file>